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livemdxac-my.sharepoint.com/personal/j_joyce_mdx_ac_uk/Documents/MCM Update 2026/foruploadfinal/"/>
    </mc:Choice>
  </mc:AlternateContent>
  <xr:revisionPtr revIDLastSave="8" documentId="13_ncr:1_{C2C6C5BF-3F9D-415F-801F-AB643C4CB38A}" xr6:coauthVersionLast="47" xr6:coauthVersionMax="47" xr10:uidLastSave="{F8D4CB6D-3F57-4B20-8893-150A3D3121F2}"/>
  <bookViews>
    <workbookView xWindow="28680" yWindow="-120" windowWidth="29040" windowHeight="15720" activeTab="1" xr2:uid="{00000000-000D-0000-FFFF-FFFF00000000}"/>
  </bookViews>
  <sheets>
    <sheet name="Index" sheetId="10" r:id="rId1"/>
    <sheet name="Step 1" sheetId="4" r:id="rId2"/>
    <sheet name="Step 2" sheetId="7" r:id="rId3"/>
    <sheet name="Step 3" sheetId="8" r:id="rId4"/>
    <sheet name="Step 4" sheetId="9" r:id="rId5"/>
    <sheet name="discounting_hidden" sheetId="11" state="hidden" r:id="rId6"/>
  </sheets>
  <externalReferences>
    <externalReference r:id="rId7"/>
  </externalReferences>
  <definedNames>
    <definedName name="_xlnm.Print_Area" localSheetId="4">'Step 4'!$A$8:$N$58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7" l="1"/>
  <c r="C25" i="7"/>
  <c r="D25" i="7"/>
  <c r="E25" i="7" s="1"/>
  <c r="F25" i="7" s="1"/>
  <c r="G25" i="7"/>
  <c r="H25" i="7"/>
  <c r="J25" i="7" s="1"/>
  <c r="K25" i="7" s="1"/>
  <c r="I25" i="7"/>
  <c r="B26" i="7"/>
  <c r="C26" i="7"/>
  <c r="D26" i="7"/>
  <c r="E26" i="7" s="1"/>
  <c r="G26" i="7"/>
  <c r="H26" i="7"/>
  <c r="J26" i="7" s="1"/>
  <c r="K26" i="7" s="1"/>
  <c r="I26" i="7"/>
  <c r="B27" i="7"/>
  <c r="C27" i="7"/>
  <c r="D27" i="7"/>
  <c r="E27" i="7"/>
  <c r="G27" i="7"/>
  <c r="H27" i="7"/>
  <c r="J27" i="7" s="1"/>
  <c r="K27" i="7" s="1"/>
  <c r="I27" i="7"/>
  <c r="B28" i="7"/>
  <c r="C28" i="7"/>
  <c r="D28" i="7"/>
  <c r="E28" i="7"/>
  <c r="F28" i="7" s="1"/>
  <c r="G28" i="7"/>
  <c r="H28" i="7"/>
  <c r="J28" i="7" s="1"/>
  <c r="K28" i="7" s="1"/>
  <c r="I28" i="7"/>
  <c r="B29" i="7"/>
  <c r="C29" i="7"/>
  <c r="D29" i="7"/>
  <c r="E29" i="7"/>
  <c r="F29" i="7" s="1"/>
  <c r="G29" i="7"/>
  <c r="H29" i="7"/>
  <c r="J29" i="7" s="1"/>
  <c r="K29" i="7" s="1"/>
  <c r="I29" i="7"/>
  <c r="B30" i="7"/>
  <c r="C30" i="7"/>
  <c r="D30" i="7"/>
  <c r="E30" i="7"/>
  <c r="F30" i="7" s="1"/>
  <c r="G30" i="7"/>
  <c r="H30" i="7"/>
  <c r="J30" i="7" s="1"/>
  <c r="K30" i="7" s="1"/>
  <c r="I30" i="7"/>
  <c r="B31" i="7"/>
  <c r="C31" i="7"/>
  <c r="D31" i="7"/>
  <c r="E31" i="7"/>
  <c r="F31" i="7" s="1"/>
  <c r="G31" i="7"/>
  <c r="H31" i="7"/>
  <c r="J31" i="7" s="1"/>
  <c r="K31" i="7" s="1"/>
  <c r="I31" i="7"/>
  <c r="B32" i="7"/>
  <c r="C32" i="7"/>
  <c r="D32" i="7"/>
  <c r="E32" i="7"/>
  <c r="F32" i="7" s="1"/>
  <c r="G32" i="7"/>
  <c r="H32" i="7"/>
  <c r="J32" i="7" s="1"/>
  <c r="K32" i="7" s="1"/>
  <c r="I32" i="7"/>
  <c r="F26" i="7" l="1"/>
  <c r="L26" i="7" s="1"/>
  <c r="F27" i="7"/>
  <c r="L28" i="7"/>
  <c r="L25" i="7"/>
  <c r="L27" i="7"/>
  <c r="L32" i="7"/>
  <c r="L30" i="7"/>
  <c r="L29" i="7"/>
  <c r="L31" i="7"/>
  <c r="E8" i="11"/>
  <c r="F8" i="11" s="1"/>
  <c r="E9" i="11" l="1"/>
  <c r="E10" i="11" s="1"/>
  <c r="E11" i="11" s="1"/>
  <c r="E12" i="11" s="1"/>
  <c r="E13" i="11" s="1"/>
  <c r="E14" i="11" s="1"/>
  <c r="E15" i="11" s="1"/>
  <c r="E16" i="11" s="1"/>
  <c r="E17" i="11" s="1"/>
  <c r="E18" i="11" s="1"/>
  <c r="E19" i="11" s="1"/>
  <c r="E20" i="11" s="1"/>
  <c r="E21" i="11" s="1"/>
  <c r="E22" i="11" s="1"/>
  <c r="E23" i="11" s="1"/>
  <c r="E24" i="11" s="1"/>
  <c r="E25" i="11" s="1"/>
  <c r="E26" i="11" s="1"/>
  <c r="E27" i="11" s="1"/>
  <c r="E28" i="11" s="1"/>
  <c r="E29" i="11" s="1"/>
  <c r="E30" i="11" s="1"/>
  <c r="E31" i="11" s="1"/>
  <c r="E32" i="11" s="1"/>
  <c r="E33" i="11" s="1"/>
  <c r="E34" i="11" s="1"/>
  <c r="E35" i="11" s="1"/>
  <c r="E36" i="11" s="1"/>
  <c r="E37" i="11" s="1"/>
  <c r="E38" i="11" s="1"/>
  <c r="E39" i="11" s="1"/>
  <c r="E40" i="11" s="1"/>
  <c r="E41" i="11" s="1"/>
  <c r="E42" i="11" s="1"/>
  <c r="E43" i="11" s="1"/>
  <c r="E44" i="11" s="1"/>
  <c r="E45" i="11" s="1"/>
  <c r="E46" i="11" s="1"/>
  <c r="E47" i="11" s="1"/>
  <c r="E48" i="11" s="1"/>
  <c r="E49" i="11" s="1"/>
  <c r="E50" i="11" s="1"/>
  <c r="E51" i="11" s="1"/>
  <c r="E52" i="11" s="1"/>
  <c r="E53" i="11" s="1"/>
  <c r="E54" i="11" s="1"/>
  <c r="E55" i="11" s="1"/>
  <c r="E56" i="11" s="1"/>
  <c r="E57" i="11" s="1"/>
  <c r="E58" i="11" s="1"/>
  <c r="E59" i="11" s="1"/>
  <c r="E60" i="11" s="1"/>
  <c r="E61" i="11" s="1"/>
  <c r="E62" i="11" s="1"/>
  <c r="E63" i="11" s="1"/>
  <c r="E64" i="11" s="1"/>
  <c r="E65" i="11" s="1"/>
  <c r="E66" i="11" s="1"/>
  <c r="E67" i="11" s="1"/>
  <c r="E68" i="11" s="1"/>
  <c r="E69" i="11" s="1"/>
  <c r="E70" i="11" s="1"/>
  <c r="E71" i="11" s="1"/>
  <c r="E72" i="11" s="1"/>
  <c r="E73" i="11" s="1"/>
  <c r="E74" i="11" s="1"/>
  <c r="E75" i="11" s="1"/>
  <c r="E76" i="11" s="1"/>
  <c r="E77" i="11" s="1"/>
  <c r="E78" i="11" s="1"/>
  <c r="E79" i="11" s="1"/>
  <c r="E80" i="11" s="1"/>
  <c r="E81" i="11" s="1"/>
  <c r="E82" i="11" s="1"/>
  <c r="E83" i="11" s="1"/>
  <c r="E84" i="11" s="1"/>
  <c r="E85" i="11" s="1"/>
  <c r="E86" i="11" s="1"/>
  <c r="E87" i="11" s="1"/>
  <c r="E88" i="11" s="1"/>
  <c r="E89" i="11" s="1"/>
  <c r="E90" i="11" s="1"/>
  <c r="E91" i="11" s="1"/>
  <c r="E92" i="11" s="1"/>
  <c r="E93" i="11" s="1"/>
  <c r="E94" i="11" s="1"/>
  <c r="E95" i="11" s="1"/>
  <c r="E96" i="11" s="1"/>
  <c r="E97" i="11" s="1"/>
  <c r="E98" i="11" s="1"/>
  <c r="E99" i="11" s="1"/>
  <c r="E100" i="11" s="1"/>
  <c r="E101" i="11" s="1"/>
  <c r="E102" i="11" s="1"/>
  <c r="E103" i="11" s="1"/>
  <c r="E104" i="11" s="1"/>
  <c r="E105" i="11" s="1"/>
  <c r="E106" i="11" s="1"/>
  <c r="E107" i="11" s="1"/>
  <c r="E108" i="11" s="1"/>
  <c r="F9" i="11" l="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F99" i="11" s="1"/>
  <c r="F100" i="11" s="1"/>
  <c r="F101" i="11" s="1"/>
  <c r="F102" i="11" s="1"/>
  <c r="F103" i="11" s="1"/>
  <c r="F104" i="11" s="1"/>
  <c r="F105" i="11" s="1"/>
  <c r="F106" i="11" s="1"/>
  <c r="F107" i="11" s="1"/>
  <c r="F108" i="11" s="1"/>
  <c r="M14" i="8" s="1"/>
  <c r="I31" i="8" l="1"/>
  <c r="C19" i="8" l="1"/>
  <c r="C21" i="8"/>
  <c r="C23" i="8"/>
  <c r="C25" i="8"/>
  <c r="C27" i="8"/>
  <c r="C17" i="8"/>
  <c r="B17" i="9" l="1"/>
  <c r="C17" i="9" s="1"/>
  <c r="D17" i="8"/>
  <c r="B21" i="9"/>
  <c r="C21" i="9" s="1"/>
  <c r="D25" i="8"/>
  <c r="B20" i="9"/>
  <c r="C20" i="9" s="1"/>
  <c r="D23" i="8"/>
  <c r="C15" i="8"/>
  <c r="D15" i="8" s="1"/>
  <c r="B18" i="9"/>
  <c r="C18" i="9" s="1"/>
  <c r="D19" i="8"/>
  <c r="B22" i="9"/>
  <c r="C22" i="9" s="1"/>
  <c r="D27" i="8"/>
  <c r="B19" i="9"/>
  <c r="C19" i="9" s="1"/>
  <c r="D21" i="8"/>
  <c r="C29" i="8"/>
  <c r="D29" i="8" s="1"/>
  <c r="F22" i="8" l="1"/>
  <c r="F20" i="8"/>
  <c r="F16" i="8"/>
  <c r="B16" i="9"/>
  <c r="C16" i="9" s="1"/>
  <c r="F28" i="8"/>
  <c r="F24" i="8"/>
  <c r="B23" i="9"/>
  <c r="C23" i="9" s="1"/>
  <c r="F26" i="8"/>
  <c r="F18" i="8"/>
  <c r="E15" i="8"/>
  <c r="E29" i="8"/>
  <c r="E27" i="8"/>
  <c r="E21" i="8"/>
  <c r="E23" i="8"/>
  <c r="E17" i="8"/>
  <c r="E25" i="8"/>
  <c r="E19" i="8"/>
  <c r="G20" i="8" l="1"/>
  <c r="H20" i="8" s="1"/>
  <c r="G28" i="8"/>
  <c r="H28" i="8" s="1"/>
  <c r="G22" i="8"/>
  <c r="H22" i="8" s="1"/>
  <c r="G24" i="8"/>
  <c r="H24" i="8" s="1"/>
  <c r="G26" i="8"/>
  <c r="H26" i="8" s="1"/>
  <c r="G18" i="8"/>
  <c r="H18" i="8" s="1"/>
  <c r="G16" i="8"/>
  <c r="H16" i="8" s="1"/>
  <c r="I30" i="8" l="1"/>
  <c r="I16" i="8"/>
  <c r="J16" i="8" s="1"/>
  <c r="E17" i="9" s="1"/>
  <c r="I18" i="8" l="1"/>
  <c r="G17" i="9"/>
  <c r="F17" i="9"/>
  <c r="I20" i="8" l="1"/>
  <c r="J20" i="8" s="1"/>
  <c r="J18" i="8"/>
  <c r="E18" i="9" s="1"/>
  <c r="I22" i="8"/>
  <c r="G18" i="9" l="1"/>
  <c r="F18" i="9"/>
  <c r="J22" i="8"/>
  <c r="E20" i="9" s="1"/>
  <c r="I24" i="8"/>
  <c r="E19" i="9"/>
  <c r="G19" i="9" l="1"/>
  <c r="F19" i="9"/>
  <c r="J24" i="8"/>
  <c r="I26" i="8"/>
  <c r="F20" i="9"/>
  <c r="G20" i="9"/>
  <c r="E21" i="9" l="1"/>
  <c r="J26" i="8"/>
  <c r="E22" i="9" s="1"/>
  <c r="I28" i="8"/>
  <c r="J28" i="8" s="1"/>
  <c r="E23" i="9" s="1"/>
  <c r="J32" i="8" l="1"/>
  <c r="G22" i="9"/>
  <c r="F22" i="9"/>
  <c r="G23" i="9"/>
  <c r="F23" i="9"/>
  <c r="G21" i="9"/>
  <c r="F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Johns</author>
  </authors>
  <commentList>
    <comment ref="D7" authorId="0" shapeId="0" xr:uid="{00000000-0006-0000-0500-000001000000}">
      <text>
        <r>
          <rPr>
            <b/>
            <sz val="9"/>
            <color indexed="81"/>
            <rFont val="Tahoma"/>
            <family val="2"/>
          </rPr>
          <t>EA:</t>
        </r>
        <r>
          <rPr>
            <sz val="9"/>
            <color indexed="81"/>
            <rFont val="Tahoma"/>
            <family val="2"/>
          </rPr>
          <t xml:space="preserve">
based on HM Treasury Green Book, Annex 6 - Long-term discount rates</t>
        </r>
      </text>
    </comment>
  </commentList>
</comments>
</file>

<file path=xl/sharedStrings.xml><?xml version="1.0" encoding="utf-8"?>
<sst xmlns="http://schemas.openxmlformats.org/spreadsheetml/2006/main" count="75" uniqueCount="60">
  <si>
    <t>NRPs at risk</t>
  </si>
  <si>
    <t>Total damage</t>
  </si>
  <si>
    <t>Mean depth of flooding</t>
  </si>
  <si>
    <t>Scheme life</t>
  </si>
  <si>
    <t>Discount rate</t>
  </si>
  <si>
    <t>3.5%; 3%; 2.5%</t>
  </si>
  <si>
    <t>Discount factor =</t>
  </si>
  <si>
    <t>Return Period of the flood (years)</t>
  </si>
  <si>
    <t>Total</t>
  </si>
  <si>
    <t>Depth (m)</t>
  </si>
  <si>
    <r>
      <t>Average m</t>
    </r>
    <r>
      <rPr>
        <b/>
        <sz val="11"/>
        <color theme="1"/>
        <rFont val="Calibri"/>
        <family val="2"/>
      </rPr>
      <t>²</t>
    </r>
  </si>
  <si>
    <t>Damage/m²</t>
  </si>
  <si>
    <t>Damage (£)</t>
  </si>
  <si>
    <t>Table 1 - The return period of each flood that is analysed, and the land use data for the benefit area</t>
  </si>
  <si>
    <t>Table 2 - The return period of each flood that is analysed, and the land use data for the benefit area</t>
  </si>
  <si>
    <r>
      <t xml:space="preserve">From the Multi-Coloured Manual database of depth-damage data, insert into Table 2 the appropriate data on damages for the depths of flooding inside the properties. Note that the damage data for the non-residential properties is given as damage </t>
    </r>
    <r>
      <rPr>
        <b/>
        <sz val="11"/>
        <color theme="1"/>
        <rFont val="Calibri"/>
        <family val="2"/>
        <scheme val="minor"/>
      </rPr>
      <t>per square metre</t>
    </r>
    <r>
      <rPr>
        <sz val="11"/>
        <color theme="1"/>
        <rFont val="Calibri"/>
        <family val="2"/>
        <scheme val="minor"/>
      </rPr>
      <t xml:space="preserve">. This Table accumulates the event damage figures for the different return period floods into the far right-hand column, giving a damage/probability relationship. </t>
    </r>
  </si>
  <si>
    <t>Table 3 - Loss-probability calculation</t>
  </si>
  <si>
    <t>Table 4 - Summary results</t>
  </si>
  <si>
    <t>From a land use and flood extent map, insert into Table 1 the number of properties at risk of flooding. These are divided into residential properties and non-residential properties, and for the latter it is necessary to have the area of the flood affected premises in square metres (m²). It is also necessary to break the properties down by the probability of their flooding, designated by the return period (RP) of the flood (in years).</t>
  </si>
  <si>
    <t>Residential properties at risk (No.)</t>
  </si>
  <si>
    <t>Non-Residential properties at risk</t>
  </si>
  <si>
    <t>Damage per residential property</t>
  </si>
  <si>
    <t xml:space="preserve">Inputs </t>
  </si>
  <si>
    <t>Key</t>
  </si>
  <si>
    <t>Outputs</t>
  </si>
  <si>
    <t>Step overview</t>
  </si>
  <si>
    <t>Intermediate calculations</t>
  </si>
  <si>
    <t>Intermediate workings</t>
  </si>
  <si>
    <t>Total damages (per return period)</t>
  </si>
  <si>
    <t>Damage (£/m²)</t>
  </si>
  <si>
    <t>Exceedance probability</t>
  </si>
  <si>
    <t>Cumulative  damages (£)</t>
  </si>
  <si>
    <t>Mean damage (£)</t>
  </si>
  <si>
    <t>Interval damages (£)</t>
  </si>
  <si>
    <t xml:space="preserve">Probability Interval </t>
  </si>
  <si>
    <t>Return Period (years)</t>
  </si>
  <si>
    <t>TOTAL ANNUAL DAMAGES</t>
  </si>
  <si>
    <t>DISCOUNTED FUTURE ANNUAL AVERAGE DAMAGES</t>
  </si>
  <si>
    <t>Data from steps 1 and 2</t>
  </si>
  <si>
    <t>Lifetime damages (i.e. Discounted) (£)</t>
  </si>
  <si>
    <t xml:space="preserve">Damages </t>
  </si>
  <si>
    <t>Return period</t>
  </si>
  <si>
    <t>Benefit-cost Ratio</t>
  </si>
  <si>
    <t>Costs of Scheme Implementation (£)</t>
  </si>
  <si>
    <t>Benefits £(k)</t>
  </si>
  <si>
    <t>Benefits minus Costs (£)</t>
  </si>
  <si>
    <t xml:space="preserve">Total Residential damages </t>
  </si>
  <si>
    <t>Total Non-residential damages</t>
  </si>
  <si>
    <t>Read me/info</t>
  </si>
  <si>
    <t xml:space="preserve">Table 4 gives the summary results, comparing costs against benefits as calculated before in the previous step. The cost data inserted here is arbitrary, rather than derived from any calculations in the Multi-Coloured Manual. But from this table we can calculate the Benefit-Cost Ratio (BCR), and also other indices to indicate scheme worthwhileness. Figure 1 offers a graphical representation of the benefits versus the costs
</t>
  </si>
  <si>
    <t>Discount rates</t>
  </si>
  <si>
    <t>Year</t>
  </si>
  <si>
    <t>Rate applied</t>
  </si>
  <si>
    <t>Index</t>
  </si>
  <si>
    <t>Cumulative</t>
  </si>
  <si>
    <r>
      <rPr>
        <b/>
        <sz val="12"/>
        <rFont val="Calibri"/>
        <family val="2"/>
        <scheme val="minor"/>
      </rPr>
      <t>Steps:</t>
    </r>
    <r>
      <rPr>
        <sz val="12"/>
        <rFont val="Calibri"/>
        <family val="2"/>
        <scheme val="minor"/>
      </rPr>
      <t xml:space="preserve">
Data presented in the yellow (input) cells above provide indicative sector average data for specific scenarios.  These can be altered by selecting other scenarios from the MCH online (i.e. you could select floods of short, long, extra long duration, with or without warning, for floods with or without salt and waves). Alternatively, you could choose to keep the data presented.</t>
    </r>
  </si>
  <si>
    <t xml:space="preserve">This is the standard table (Table 3) representing the loss/probability relationship of the area affected. Inserted into this Table are the return period (RP) values in the first column, automatically taken from the Table in Step 1/2.  In addition, the total damages for each return period are inserted (automatically), giving the accumulated damage values in the penultimate column. The discounted annual average damage values must then be calculated, using the standard discount rate. As the note says, discounting is necessary to calculate the present value of the damages over the life of the prospective scheme. Enter the estimated life of the scheme into the light yellow cell.  If information on this value is missing select a default of 100 years.
</t>
  </si>
  <si>
    <t>Residential property average depth-damage curve (Example data are from 2022 MCH, Fluvial, short duration, no warning)</t>
  </si>
  <si>
    <t>Non-residential property (NRP) average depth-damage curve (Example data are from 2022 MCH, Fluvial, Short duration, with Cellars, no warning)</t>
  </si>
  <si>
    <t>©Flood Hazard Research Centre, 2026;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</si>
</sst>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quot;£&quot;#,##0"/>
    <numFmt numFmtId="165" formatCode="0.0"/>
    <numFmt numFmtId="166" formatCode="0.000"/>
    <numFmt numFmtId="167" formatCode="_-* #,##0_-;\-* #,##0_-;_-* &quot;-&quot;??_-;_-@_-"/>
    <numFmt numFmtId="168" formatCode="0.0000"/>
  </numFmts>
  <fonts count="21"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theme="0"/>
      <name val="Calibri"/>
      <family val="2"/>
      <scheme val="minor"/>
    </font>
    <font>
      <b/>
      <sz val="14"/>
      <color rgb="FFFF0000"/>
      <name val="Calibri"/>
      <family val="2"/>
      <scheme val="minor"/>
    </font>
    <font>
      <sz val="11"/>
      <color theme="1"/>
      <name val="Calibri"/>
      <family val="2"/>
    </font>
    <font>
      <b/>
      <sz val="11"/>
      <color theme="1"/>
      <name val="Calibri"/>
      <family val="2"/>
    </font>
    <font>
      <b/>
      <sz val="12"/>
      <name val="Calibri"/>
      <family val="2"/>
      <scheme val="minor"/>
    </font>
    <font>
      <sz val="11"/>
      <name val="Calibri"/>
      <family val="2"/>
      <scheme val="minor"/>
    </font>
    <font>
      <b/>
      <sz val="10"/>
      <color theme="1"/>
      <name val="Calibri"/>
      <family val="2"/>
      <scheme val="minor"/>
    </font>
    <font>
      <sz val="11"/>
      <name val="Calibri"/>
      <family val="2"/>
    </font>
    <font>
      <sz val="14"/>
      <color rgb="FFFF0000"/>
      <name val="Calibri"/>
      <family val="2"/>
      <scheme val="minor"/>
    </font>
    <font>
      <sz val="10"/>
      <name val="Arial"/>
      <family val="2"/>
    </font>
    <font>
      <sz val="11"/>
      <color theme="0" tint="-4.9989318521683403E-2"/>
      <name val="Calibri"/>
      <family val="2"/>
      <scheme val="minor"/>
    </font>
    <font>
      <sz val="12"/>
      <name val="Calibri"/>
      <family val="2"/>
      <scheme val="minor"/>
    </font>
    <font>
      <sz val="14"/>
      <name val="Calibri"/>
      <family val="2"/>
      <scheme val="minor"/>
    </font>
    <font>
      <b/>
      <sz val="12"/>
      <color indexed="8"/>
      <name val="Arial"/>
      <family val="2"/>
    </font>
    <font>
      <i/>
      <sz val="12"/>
      <color indexed="8"/>
      <name val="Arial"/>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42"/>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13" fillId="0" borderId="0"/>
    <xf numFmtId="43" fontId="3" fillId="0" borderId="0" applyFont="0" applyFill="0" applyBorder="0" applyAlignment="0" applyProtection="0"/>
  </cellStyleXfs>
  <cellXfs count="182">
    <xf numFmtId="0" fontId="0" fillId="0" borderId="0" xfId="0"/>
    <xf numFmtId="0" fontId="0" fillId="0" borderId="0" xfId="0" applyAlignment="1">
      <alignment horizontal="center"/>
    </xf>
    <xf numFmtId="0" fontId="0" fillId="0" borderId="13" xfId="0" applyBorder="1" applyAlignment="1">
      <alignment horizontal="center"/>
    </xf>
    <xf numFmtId="0" fontId="0" fillId="0" borderId="16" xfId="0" applyBorder="1" applyAlignment="1">
      <alignment horizontal="center"/>
    </xf>
    <xf numFmtId="1" fontId="0" fillId="0" borderId="0" xfId="0" applyNumberFormat="1" applyAlignment="1">
      <alignment horizontal="center"/>
    </xf>
    <xf numFmtId="166" fontId="0" fillId="0" borderId="13" xfId="0" applyNumberFormat="1" applyBorder="1" applyAlignment="1">
      <alignment horizontal="center"/>
    </xf>
    <xf numFmtId="166" fontId="0" fillId="0" borderId="19" xfId="0" applyNumberFormat="1" applyBorder="1" applyAlignment="1">
      <alignment horizontal="center"/>
    </xf>
    <xf numFmtId="165" fontId="0" fillId="0" borderId="0" xfId="0" applyNumberFormat="1" applyAlignment="1">
      <alignment horizontal="center"/>
    </xf>
    <xf numFmtId="0" fontId="4" fillId="0" borderId="0" xfId="0" applyFont="1"/>
    <xf numFmtId="0" fontId="0" fillId="0" borderId="0" xfId="0" applyAlignment="1">
      <alignment vertical="top" wrapText="1"/>
    </xf>
    <xf numFmtId="0" fontId="2" fillId="0" borderId="0" xfId="0" applyFont="1" applyAlignment="1">
      <alignment vertical="center"/>
    </xf>
    <xf numFmtId="0" fontId="1" fillId="0" borderId="13" xfId="0" applyFont="1" applyBorder="1" applyAlignment="1">
      <alignment horizontal="center"/>
    </xf>
    <xf numFmtId="0" fontId="1" fillId="0" borderId="16"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0" fillId="0" borderId="0" xfId="0" applyAlignment="1">
      <alignment vertical="center"/>
    </xf>
    <xf numFmtId="0" fontId="1" fillId="0" borderId="0" xfId="0" applyFont="1" applyAlignment="1">
      <alignment vertical="center"/>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2" xfId="0" applyFont="1" applyBorder="1" applyAlignment="1">
      <alignment horizontal="center" vertic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30" xfId="0" applyFont="1" applyBorder="1" applyAlignment="1">
      <alignment vertical="center" wrapText="1"/>
    </xf>
    <xf numFmtId="0" fontId="5" fillId="0" borderId="0" xfId="0" applyFont="1" applyAlignment="1">
      <alignment vertical="center"/>
    </xf>
    <xf numFmtId="0" fontId="6" fillId="0" borderId="0" xfId="0" applyFont="1"/>
    <xf numFmtId="0" fontId="9" fillId="0" borderId="0" xfId="0" applyFont="1"/>
    <xf numFmtId="0" fontId="11" fillId="0" borderId="0" xfId="0" applyFont="1"/>
    <xf numFmtId="0" fontId="12" fillId="0" borderId="0" xfId="0" applyFont="1"/>
    <xf numFmtId="3" fontId="0" fillId="0" borderId="0" xfId="0" applyNumberFormat="1"/>
    <xf numFmtId="0" fontId="0" fillId="0" borderId="18" xfId="0" applyBorder="1" applyAlignment="1">
      <alignment horizontal="center"/>
    </xf>
    <xf numFmtId="0" fontId="1" fillId="6" borderId="29" xfId="0" applyFont="1" applyFill="1" applyBorder="1" applyAlignment="1" applyProtection="1">
      <alignment horizontal="center"/>
      <protection locked="0"/>
    </xf>
    <xf numFmtId="0" fontId="1" fillId="6" borderId="14" xfId="0" applyFont="1" applyFill="1" applyBorder="1" applyAlignment="1" applyProtection="1">
      <alignment horizontal="center"/>
      <protection locked="0"/>
    </xf>
    <xf numFmtId="0" fontId="1" fillId="6" borderId="15" xfId="0" applyFont="1" applyFill="1" applyBorder="1" applyAlignment="1" applyProtection="1">
      <alignment horizontal="center"/>
      <protection locked="0"/>
    </xf>
    <xf numFmtId="0" fontId="0" fillId="6" borderId="13" xfId="0" applyFill="1" applyBorder="1"/>
    <xf numFmtId="0" fontId="0" fillId="4" borderId="13" xfId="0" applyFill="1" applyBorder="1"/>
    <xf numFmtId="0" fontId="0" fillId="2" borderId="13" xfId="0" applyFill="1" applyBorder="1"/>
    <xf numFmtId="0" fontId="0" fillId="3" borderId="13" xfId="0" applyFill="1" applyBorder="1"/>
    <xf numFmtId="0" fontId="0" fillId="8" borderId="13" xfId="0" applyFill="1" applyBorder="1"/>
    <xf numFmtId="164" fontId="0" fillId="8" borderId="27" xfId="0" applyNumberFormat="1" applyFill="1" applyBorder="1" applyAlignment="1">
      <alignment horizontal="center"/>
    </xf>
    <xf numFmtId="164" fontId="0" fillId="8" borderId="13" xfId="0" applyNumberFormat="1" applyFill="1" applyBorder="1" applyAlignment="1">
      <alignment horizontal="center"/>
    </xf>
    <xf numFmtId="164" fontId="0" fillId="8" borderId="19" xfId="0" applyNumberFormat="1" applyFill="1" applyBorder="1" applyAlignment="1">
      <alignment horizontal="center"/>
    </xf>
    <xf numFmtId="164" fontId="0" fillId="8" borderId="33" xfId="0" applyNumberFormat="1" applyFill="1" applyBorder="1" applyAlignment="1">
      <alignment horizontal="center"/>
    </xf>
    <xf numFmtId="164" fontId="0" fillId="8" borderId="24" xfId="0" applyNumberFormat="1" applyFill="1" applyBorder="1" applyAlignment="1">
      <alignment horizontal="center"/>
    </xf>
    <xf numFmtId="164" fontId="0" fillId="8" borderId="25" xfId="0" applyNumberFormat="1" applyFill="1" applyBorder="1" applyAlignment="1">
      <alignment horizontal="center"/>
    </xf>
    <xf numFmtId="0" fontId="0" fillId="9" borderId="18" xfId="0" applyFill="1" applyBorder="1"/>
    <xf numFmtId="164" fontId="0" fillId="9" borderId="27" xfId="0" applyNumberFormat="1" applyFill="1" applyBorder="1" applyAlignment="1">
      <alignment horizontal="center"/>
    </xf>
    <xf numFmtId="164" fontId="0" fillId="9" borderId="28" xfId="0" applyNumberFormat="1" applyFill="1" applyBorder="1" applyAlignment="1">
      <alignment horizontal="center"/>
    </xf>
    <xf numFmtId="164" fontId="0" fillId="9" borderId="13" xfId="0" applyNumberFormat="1" applyFill="1" applyBorder="1" applyAlignment="1">
      <alignment horizontal="center"/>
    </xf>
    <xf numFmtId="164" fontId="0" fillId="9" borderId="17" xfId="0" applyNumberFormat="1" applyFill="1" applyBorder="1" applyAlignment="1">
      <alignment horizontal="center"/>
    </xf>
    <xf numFmtId="164" fontId="0" fillId="9" borderId="19" xfId="0" applyNumberFormat="1" applyFill="1" applyBorder="1" applyAlignment="1">
      <alignment horizontal="center"/>
    </xf>
    <xf numFmtId="164" fontId="0" fillId="9" borderId="20" xfId="0" applyNumberFormat="1" applyFill="1" applyBorder="1" applyAlignment="1">
      <alignment horizontal="center"/>
    </xf>
    <xf numFmtId="164" fontId="0" fillId="9" borderId="33" xfId="0" applyNumberFormat="1" applyFill="1" applyBorder="1" applyAlignment="1">
      <alignment horizontal="center"/>
    </xf>
    <xf numFmtId="164" fontId="0" fillId="9" borderId="24" xfId="0" applyNumberFormat="1" applyFill="1" applyBorder="1" applyAlignment="1">
      <alignment horizontal="center"/>
    </xf>
    <xf numFmtId="164" fontId="0" fillId="9" borderId="25" xfId="0" applyNumberFormat="1" applyFill="1" applyBorder="1" applyAlignment="1">
      <alignment horizontal="center"/>
    </xf>
    <xf numFmtId="0" fontId="0" fillId="9" borderId="28" xfId="0" applyFill="1" applyBorder="1"/>
    <xf numFmtId="0" fontId="0" fillId="9" borderId="17" xfId="0" applyFill="1" applyBorder="1"/>
    <xf numFmtId="0" fontId="0" fillId="9" borderId="20" xfId="0" applyFill="1" applyBorder="1"/>
    <xf numFmtId="0" fontId="1" fillId="8" borderId="31" xfId="0" applyFont="1" applyFill="1" applyBorder="1" applyAlignment="1">
      <alignment horizontal="center" vertical="center" wrapText="1"/>
    </xf>
    <xf numFmtId="0" fontId="1" fillId="8" borderId="34" xfId="0" applyFont="1" applyFill="1" applyBorder="1" applyAlignment="1">
      <alignment horizontal="center" vertical="center" wrapText="1"/>
    </xf>
    <xf numFmtId="164" fontId="0" fillId="3" borderId="28" xfId="0" applyNumberFormat="1" applyFill="1" applyBorder="1"/>
    <xf numFmtId="164" fontId="0" fillId="3" borderId="17" xfId="0" applyNumberFormat="1" applyFill="1" applyBorder="1"/>
    <xf numFmtId="164" fontId="0" fillId="3" borderId="20" xfId="0" applyNumberFormat="1" applyFill="1" applyBorder="1"/>
    <xf numFmtId="0" fontId="1" fillId="3" borderId="32" xfId="0" applyFont="1" applyFill="1" applyBorder="1" applyAlignment="1">
      <alignment horizontal="center" vertical="center" wrapText="1"/>
    </xf>
    <xf numFmtId="0" fontId="0" fillId="9" borderId="0" xfId="0" applyFill="1"/>
    <xf numFmtId="0" fontId="0" fillId="9" borderId="0" xfId="0" applyFill="1" applyAlignment="1">
      <alignment horizontal="center"/>
    </xf>
    <xf numFmtId="164" fontId="0" fillId="9" borderId="0" xfId="0" applyNumberFormat="1" applyFill="1" applyAlignment="1">
      <alignment horizontal="right"/>
    </xf>
    <xf numFmtId="0" fontId="0" fillId="0" borderId="18" xfId="0" applyBorder="1"/>
    <xf numFmtId="0" fontId="0" fillId="0" borderId="35" xfId="0" applyBorder="1"/>
    <xf numFmtId="0" fontId="0" fillId="9" borderId="30" xfId="0" applyFill="1" applyBorder="1" applyAlignment="1">
      <alignment horizontal="right"/>
    </xf>
    <xf numFmtId="0" fontId="0" fillId="9" borderId="31" xfId="0" applyFill="1" applyBorder="1" applyAlignment="1">
      <alignment horizontal="right"/>
    </xf>
    <xf numFmtId="0" fontId="0" fillId="9" borderId="32" xfId="0" applyFill="1" applyBorder="1" applyAlignment="1">
      <alignment horizontal="right"/>
    </xf>
    <xf numFmtId="0" fontId="0" fillId="9" borderId="16" xfId="0" applyFill="1" applyBorder="1"/>
    <xf numFmtId="0" fontId="0" fillId="8" borderId="13" xfId="0" applyFill="1" applyBorder="1" applyAlignment="1">
      <alignment horizontal="center"/>
    </xf>
    <xf numFmtId="166" fontId="0" fillId="8" borderId="13" xfId="0" applyNumberFormat="1" applyFill="1" applyBorder="1" applyAlignment="1">
      <alignment horizontal="center"/>
    </xf>
    <xf numFmtId="164" fontId="0" fillId="8" borderId="13" xfId="0" applyNumberFormat="1" applyFill="1" applyBorder="1"/>
    <xf numFmtId="0" fontId="0" fillId="8" borderId="19" xfId="0" applyFill="1" applyBorder="1" applyAlignment="1">
      <alignment horizontal="center"/>
    </xf>
    <xf numFmtId="167" fontId="0" fillId="7" borderId="0" xfId="0" applyNumberFormat="1" applyFill="1"/>
    <xf numFmtId="164" fontId="1" fillId="3" borderId="12" xfId="0" applyNumberFormat="1" applyFont="1" applyFill="1" applyBorder="1"/>
    <xf numFmtId="0" fontId="1" fillId="0" borderId="13" xfId="0" applyFont="1" applyBorder="1" applyAlignment="1">
      <alignment horizontal="center" vertical="center" wrapText="1"/>
    </xf>
    <xf numFmtId="0" fontId="1" fillId="8" borderId="13" xfId="0" applyFont="1" applyFill="1" applyBorder="1" applyAlignment="1">
      <alignment horizontal="center" vertical="center" wrapText="1"/>
    </xf>
    <xf numFmtId="0" fontId="1" fillId="0" borderId="16" xfId="0" applyFont="1" applyBorder="1" applyAlignment="1">
      <alignment horizontal="center" vertical="center" wrapText="1"/>
    </xf>
    <xf numFmtId="167" fontId="0" fillId="9" borderId="0" xfId="0" applyNumberFormat="1" applyFill="1"/>
    <xf numFmtId="167" fontId="1" fillId="9" borderId="0" xfId="0" applyNumberFormat="1" applyFont="1" applyFill="1" applyAlignment="1">
      <alignment horizontal="right"/>
    </xf>
    <xf numFmtId="167" fontId="14" fillId="9" borderId="0" xfId="0" applyNumberFormat="1" applyFont="1" applyFill="1"/>
    <xf numFmtId="164" fontId="1" fillId="3" borderId="39" xfId="0" applyNumberFormat="1" applyFont="1" applyFill="1" applyBorder="1"/>
    <xf numFmtId="1" fontId="0" fillId="4" borderId="17" xfId="0" applyNumberFormat="1" applyFill="1" applyBorder="1" applyAlignment="1">
      <alignment horizontal="center"/>
    </xf>
    <xf numFmtId="164" fontId="0" fillId="4" borderId="17" xfId="0" applyNumberFormat="1" applyFill="1" applyBorder="1" applyAlignment="1">
      <alignment horizontal="center"/>
    </xf>
    <xf numFmtId="1" fontId="0" fillId="4" borderId="20" xfId="0" applyNumberFormat="1" applyFill="1" applyBorder="1" applyAlignment="1">
      <alignment horizontal="center"/>
    </xf>
    <xf numFmtId="0" fontId="1" fillId="9" borderId="13" xfId="0" applyFont="1" applyFill="1" applyBorder="1" applyAlignment="1">
      <alignment horizontal="center" vertical="center" wrapText="1"/>
    </xf>
    <xf numFmtId="164" fontId="0" fillId="9" borderId="13" xfId="0" applyNumberFormat="1" applyFill="1" applyBorder="1"/>
    <xf numFmtId="164" fontId="0" fillId="9" borderId="19" xfId="0" applyNumberFormat="1" applyFill="1" applyBorder="1"/>
    <xf numFmtId="0" fontId="0" fillId="5" borderId="13" xfId="0" applyFill="1" applyBorder="1" applyAlignment="1">
      <alignment horizontal="center"/>
    </xf>
    <xf numFmtId="0" fontId="1" fillId="0" borderId="13" xfId="0" applyFont="1" applyBorder="1" applyAlignment="1">
      <alignment horizontal="center" wrapText="1"/>
    </xf>
    <xf numFmtId="0" fontId="10" fillId="6" borderId="13" xfId="0" applyFont="1" applyFill="1" applyBorder="1" applyAlignment="1">
      <alignment horizontal="center" wrapText="1"/>
    </xf>
    <xf numFmtId="0" fontId="10" fillId="5" borderId="13" xfId="0" applyFont="1" applyFill="1" applyBorder="1" applyAlignment="1">
      <alignment horizontal="center" wrapText="1"/>
    </xf>
    <xf numFmtId="0" fontId="1" fillId="0" borderId="16" xfId="0" applyFont="1" applyBorder="1" applyAlignment="1">
      <alignment horizontal="center" wrapText="1"/>
    </xf>
    <xf numFmtId="0" fontId="10" fillId="5" borderId="17" xfId="0" applyFont="1" applyFill="1" applyBorder="1" applyAlignment="1">
      <alignment horizontal="center" wrapText="1"/>
    </xf>
    <xf numFmtId="164" fontId="0" fillId="5" borderId="17" xfId="0" applyNumberFormat="1" applyFill="1" applyBorder="1" applyAlignment="1">
      <alignment horizontal="center"/>
    </xf>
    <xf numFmtId="6" fontId="0" fillId="5" borderId="17" xfId="1" applyNumberFormat="1" applyFont="1" applyFill="1" applyBorder="1" applyAlignment="1">
      <alignment horizontal="center"/>
    </xf>
    <xf numFmtId="6" fontId="0" fillId="5" borderId="20" xfId="1" applyNumberFormat="1" applyFont="1" applyFill="1" applyBorder="1" applyAlignment="1">
      <alignment horizontal="center"/>
    </xf>
    <xf numFmtId="2" fontId="0" fillId="9" borderId="13" xfId="0" applyNumberFormat="1" applyFill="1" applyBorder="1"/>
    <xf numFmtId="2" fontId="0" fillId="9" borderId="17" xfId="0" applyNumberFormat="1" applyFill="1" applyBorder="1"/>
    <xf numFmtId="0" fontId="1" fillId="0" borderId="0" xfId="0" applyFont="1"/>
    <xf numFmtId="0" fontId="1" fillId="6" borderId="26" xfId="0" applyFont="1" applyFill="1" applyBorder="1" applyAlignment="1" applyProtection="1">
      <alignment horizontal="center"/>
      <protection locked="0"/>
    </xf>
    <xf numFmtId="2" fontId="1" fillId="6" borderId="27" xfId="0" applyNumberFormat="1" applyFont="1" applyFill="1" applyBorder="1" applyAlignment="1" applyProtection="1">
      <alignment horizontal="center"/>
      <protection locked="0"/>
    </xf>
    <xf numFmtId="0" fontId="1" fillId="6" borderId="16" xfId="0" applyFont="1" applyFill="1" applyBorder="1" applyAlignment="1" applyProtection="1">
      <alignment horizontal="center"/>
      <protection locked="0"/>
    </xf>
    <xf numFmtId="2" fontId="1" fillId="6" borderId="13" xfId="0" applyNumberFormat="1" applyFont="1" applyFill="1" applyBorder="1" applyAlignment="1" applyProtection="1">
      <alignment horizontal="center"/>
      <protection locked="0"/>
    </xf>
    <xf numFmtId="0" fontId="1" fillId="6" borderId="18" xfId="0" applyFont="1" applyFill="1" applyBorder="1" applyAlignment="1" applyProtection="1">
      <alignment horizontal="center"/>
      <protection locked="0"/>
    </xf>
    <xf numFmtId="2" fontId="1" fillId="6" borderId="19" xfId="0" applyNumberFormat="1" applyFont="1" applyFill="1" applyBorder="1" applyAlignment="1" applyProtection="1">
      <alignment horizontal="center"/>
      <protection locked="0"/>
    </xf>
    <xf numFmtId="0" fontId="1" fillId="6" borderId="27" xfId="0" applyFont="1" applyFill="1" applyBorder="1" applyAlignment="1" applyProtection="1">
      <alignment horizontal="center"/>
      <protection locked="0"/>
    </xf>
    <xf numFmtId="0" fontId="1" fillId="6" borderId="13" xfId="0" applyFont="1" applyFill="1" applyBorder="1" applyAlignment="1" applyProtection="1">
      <alignment horizontal="center"/>
      <protection locked="0"/>
    </xf>
    <xf numFmtId="0" fontId="1" fillId="6" borderId="19" xfId="0" applyFont="1" applyFill="1" applyBorder="1" applyAlignment="1" applyProtection="1">
      <alignment horizontal="center"/>
      <protection locked="0"/>
    </xf>
    <xf numFmtId="164" fontId="1" fillId="6" borderId="19" xfId="1" applyNumberFormat="1" applyFont="1" applyFill="1" applyBorder="1" applyAlignment="1" applyProtection="1">
      <alignment horizontal="right"/>
      <protection locked="0"/>
    </xf>
    <xf numFmtId="164" fontId="1" fillId="6" borderId="20" xfId="1" applyNumberFormat="1" applyFont="1" applyFill="1" applyBorder="1" applyAlignment="1" applyProtection="1">
      <alignment horizontal="right"/>
      <protection locked="0"/>
    </xf>
    <xf numFmtId="164" fontId="1" fillId="6" borderId="38" xfId="0" applyNumberFormat="1" applyFont="1" applyFill="1" applyBorder="1" applyAlignment="1" applyProtection="1">
      <alignment horizontal="right"/>
      <protection locked="0"/>
    </xf>
    <xf numFmtId="164" fontId="1" fillId="6" borderId="13" xfId="0" applyNumberFormat="1" applyFont="1" applyFill="1" applyBorder="1" applyAlignment="1" applyProtection="1">
      <alignment horizontal="center"/>
      <protection locked="0"/>
    </xf>
    <xf numFmtId="164" fontId="1" fillId="6" borderId="13" xfId="1" applyNumberFormat="1" applyFont="1" applyFill="1" applyBorder="1" applyAlignment="1" applyProtection="1">
      <alignment horizontal="center"/>
      <protection locked="0"/>
    </xf>
    <xf numFmtId="164" fontId="1" fillId="6" borderId="19" xfId="1" applyNumberFormat="1" applyFont="1" applyFill="1" applyBorder="1" applyAlignment="1" applyProtection="1">
      <alignment horizontal="center"/>
      <protection locked="0"/>
    </xf>
    <xf numFmtId="0" fontId="17" fillId="10" borderId="0" xfId="0" applyFont="1" applyFill="1"/>
    <xf numFmtId="0" fontId="0" fillId="10" borderId="0" xfId="0" applyFill="1"/>
    <xf numFmtId="168" fontId="0" fillId="10" borderId="0" xfId="0" applyNumberFormat="1" applyFill="1"/>
    <xf numFmtId="0" fontId="18" fillId="10" borderId="0" xfId="0" applyFont="1" applyFill="1"/>
    <xf numFmtId="168" fontId="18" fillId="10" borderId="0" xfId="0" applyNumberFormat="1" applyFont="1" applyFill="1"/>
    <xf numFmtId="0" fontId="0" fillId="10" borderId="0" xfId="0" applyFill="1" applyAlignment="1">
      <alignment horizontal="center"/>
    </xf>
    <xf numFmtId="10" fontId="0" fillId="10" borderId="0" xfId="0" applyNumberFormat="1" applyFill="1"/>
    <xf numFmtId="0" fontId="17" fillId="10" borderId="0" xfId="0" applyFont="1" applyFill="1" applyAlignment="1">
      <alignment horizontal="center"/>
    </xf>
    <xf numFmtId="10" fontId="17" fillId="10" borderId="0" xfId="0" applyNumberFormat="1" applyFont="1" applyFill="1"/>
    <xf numFmtId="168" fontId="17" fillId="10" borderId="0" xfId="0" applyNumberFormat="1" applyFont="1" applyFill="1"/>
    <xf numFmtId="1" fontId="1" fillId="4" borderId="13" xfId="0" applyNumberFormat="1" applyFont="1" applyFill="1" applyBorder="1" applyAlignment="1">
      <alignment horizontal="center" vertical="center" wrapText="1"/>
    </xf>
    <xf numFmtId="1" fontId="1" fillId="4" borderId="13" xfId="0" applyNumberFormat="1" applyFont="1" applyFill="1" applyBorder="1" applyAlignment="1">
      <alignment horizontal="center" wrapText="1"/>
    </xf>
    <xf numFmtId="9" fontId="0" fillId="4" borderId="13" xfId="0" applyNumberFormat="1" applyFill="1" applyBorder="1" applyAlignment="1">
      <alignment horizontal="center" wrapText="1"/>
    </xf>
    <xf numFmtId="1" fontId="1" fillId="0" borderId="13" xfId="0" applyNumberFormat="1" applyFont="1" applyBorder="1" applyAlignment="1">
      <alignment horizontal="center" wrapText="1"/>
    </xf>
    <xf numFmtId="2" fontId="1" fillId="4" borderId="13" xfId="0" applyNumberFormat="1" applyFont="1" applyFill="1" applyBorder="1" applyAlignment="1">
      <alignment horizontal="center" wrapText="1"/>
    </xf>
    <xf numFmtId="0" fontId="0" fillId="6" borderId="13" xfId="0" applyFill="1" applyBorder="1" applyAlignment="1" applyProtection="1">
      <alignment horizontal="center" vertical="center"/>
      <protection locked="0"/>
    </xf>
    <xf numFmtId="0" fontId="10" fillId="9" borderId="13" xfId="0" applyFont="1" applyFill="1" applyBorder="1" applyAlignment="1">
      <alignment horizontal="center"/>
    </xf>
    <xf numFmtId="164" fontId="0" fillId="9" borderId="13" xfId="1" applyNumberFormat="1" applyFont="1" applyFill="1" applyBorder="1" applyAlignment="1" applyProtection="1">
      <alignment horizontal="center"/>
    </xf>
    <xf numFmtId="164" fontId="0" fillId="9" borderId="19" xfId="1" applyNumberFormat="1" applyFont="1" applyFill="1" applyBorder="1" applyAlignment="1" applyProtection="1">
      <alignment horizontal="center"/>
    </xf>
    <xf numFmtId="166" fontId="0" fillId="5" borderId="13" xfId="0" applyNumberFormat="1" applyFill="1" applyBorder="1" applyAlignment="1">
      <alignment horizontal="center"/>
    </xf>
    <xf numFmtId="166" fontId="0" fillId="5" borderId="19" xfId="0" applyNumberFormat="1" applyFill="1" applyBorder="1" applyAlignment="1">
      <alignment horizont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 xfId="0" applyFill="1" applyBorder="1" applyAlignment="1">
      <alignment horizontal="lef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22" xfId="0" applyFont="1" applyFill="1" applyBorder="1" applyAlignment="1">
      <alignment horizontal="center" vertical="center"/>
    </xf>
    <xf numFmtId="0" fontId="1" fillId="9" borderId="23" xfId="0" applyFont="1" applyFill="1" applyBorder="1" applyAlignment="1">
      <alignment horizontal="center" vertical="center"/>
    </xf>
    <xf numFmtId="0" fontId="1" fillId="0" borderId="21" xfId="0" applyFont="1" applyBorder="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15"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 xfId="0" applyFill="1" applyBorder="1" applyAlignment="1">
      <alignment horizontal="left" vertical="top" wrapText="1"/>
    </xf>
    <xf numFmtId="0" fontId="0" fillId="2" borderId="0" xfId="0" applyFill="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8" fillId="9" borderId="16" xfId="0" applyFont="1" applyFill="1" applyBorder="1" applyAlignment="1">
      <alignment horizontal="center" vertical="center"/>
    </xf>
    <xf numFmtId="0" fontId="8" fillId="9" borderId="13" xfId="0" applyFont="1" applyFill="1" applyBorder="1" applyAlignment="1">
      <alignment horizontal="center" vertical="center"/>
    </xf>
    <xf numFmtId="0" fontId="8" fillId="9" borderId="21" xfId="0" applyFont="1" applyFill="1" applyBorder="1" applyAlignment="1">
      <alignment horizontal="center" vertical="center"/>
    </xf>
    <xf numFmtId="0" fontId="8" fillId="9" borderId="22" xfId="0" applyFont="1" applyFill="1" applyBorder="1" applyAlignment="1">
      <alignment horizontal="center" vertical="center"/>
    </xf>
    <xf numFmtId="0" fontId="8" fillId="9" borderId="23" xfId="0" applyFont="1" applyFill="1" applyBorder="1" applyAlignment="1">
      <alignment horizontal="center" vertical="center"/>
    </xf>
    <xf numFmtId="1" fontId="1" fillId="4" borderId="17" xfId="0" applyNumberFormat="1" applyFont="1" applyFill="1" applyBorder="1" applyAlignment="1">
      <alignment horizontal="center"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FFCC"/>
      <color rgb="FF5BD4FF"/>
      <color rgb="FFF4ACEF"/>
      <color rgb="FFFF9FFF"/>
      <color rgb="FFFFB793"/>
      <color rgb="FFA9A3FB"/>
      <color rgb="FF69F7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en-US" sz="1500"/>
              <a:t>Fig</a:t>
            </a:r>
            <a:r>
              <a:rPr lang="en-US" sz="1500" baseline="0"/>
              <a:t> </a:t>
            </a:r>
            <a:r>
              <a:rPr lang="en-US" sz="1500"/>
              <a:t>1 - Benefits vs.</a:t>
            </a:r>
            <a:r>
              <a:rPr lang="en-US" sz="1500" baseline="0"/>
              <a:t> costs </a:t>
            </a:r>
            <a:r>
              <a:rPr lang="en-US" sz="1500"/>
              <a:t>(k)</a:t>
            </a:r>
          </a:p>
        </c:rich>
      </c:tx>
      <c:layout>
        <c:manualLayout>
          <c:xMode val="edge"/>
          <c:yMode val="edge"/>
          <c:x val="0.31719892495665925"/>
          <c:y val="1.0151452477014353E-2"/>
        </c:manualLayout>
      </c:layout>
      <c:overlay val="0"/>
    </c:title>
    <c:autoTitleDeleted val="0"/>
    <c:plotArea>
      <c:layout>
        <c:manualLayout>
          <c:layoutTarget val="inner"/>
          <c:xMode val="edge"/>
          <c:yMode val="edge"/>
          <c:x val="0.17507794842098165"/>
          <c:y val="0.13311541929666371"/>
          <c:w val="0.72290381239558577"/>
          <c:h val="0.63577409650036598"/>
        </c:manualLayout>
      </c:layout>
      <c:scatterChart>
        <c:scatterStyle val="smoothMarker"/>
        <c:varyColors val="0"/>
        <c:ser>
          <c:idx val="0"/>
          <c:order val="0"/>
          <c:tx>
            <c:strRef>
              <c:f>'Step 4'!$E$15</c:f>
              <c:strCache>
                <c:ptCount val="1"/>
                <c:pt idx="0">
                  <c:v>Benefits £(k)</c:v>
                </c:pt>
              </c:strCache>
            </c:strRef>
          </c:tx>
          <c:marker>
            <c:symbol val="square"/>
            <c:size val="7"/>
          </c:marker>
          <c:xVal>
            <c:numRef>
              <c:f>'Step 4'!$D$16:$D$23</c:f>
              <c:numCache>
                <c:formatCode>"£"#,##0</c:formatCode>
                <c:ptCount val="8"/>
                <c:pt idx="0">
                  <c:v>0</c:v>
                </c:pt>
                <c:pt idx="1">
                  <c:v>1500000</c:v>
                </c:pt>
                <c:pt idx="2">
                  <c:v>2600000</c:v>
                </c:pt>
                <c:pt idx="3">
                  <c:v>3500000</c:v>
                </c:pt>
                <c:pt idx="4">
                  <c:v>4300000</c:v>
                </c:pt>
                <c:pt idx="5">
                  <c:v>5300000</c:v>
                </c:pt>
                <c:pt idx="6">
                  <c:v>7300000</c:v>
                </c:pt>
                <c:pt idx="7">
                  <c:v>8000000</c:v>
                </c:pt>
              </c:numCache>
            </c:numRef>
          </c:xVal>
          <c:yVal>
            <c:numRef>
              <c:f>'Step 4'!$E$16:$E$23</c:f>
              <c:numCache>
                <c:formatCode>"£"#,##0</c:formatCode>
                <c:ptCount val="8"/>
                <c:pt idx="0">
                  <c:v>0</c:v>
                </c:pt>
                <c:pt idx="1">
                  <c:v>2037614.6109596645</c:v>
                </c:pt>
                <c:pt idx="2">
                  <c:v>3933094.5440281499</c:v>
                </c:pt>
                <c:pt idx="3">
                  <c:v>6679604.1811558828</c:v>
                </c:pt>
                <c:pt idx="4">
                  <c:v>8206332.7966770651</c:v>
                </c:pt>
                <c:pt idx="5">
                  <c:v>9204861.3852702491</c:v>
                </c:pt>
                <c:pt idx="6">
                  <c:v>9867911.2958908584</c:v>
                </c:pt>
                <c:pt idx="7">
                  <c:v>10082951.77603421</c:v>
                </c:pt>
              </c:numCache>
            </c:numRef>
          </c:yVal>
          <c:smooth val="1"/>
          <c:extLst>
            <c:ext xmlns:c16="http://schemas.microsoft.com/office/drawing/2014/chart" uri="{C3380CC4-5D6E-409C-BE32-E72D297353CC}">
              <c16:uniqueId val="{00000000-61EA-4375-8AA6-32DC7C46F631}"/>
            </c:ext>
          </c:extLst>
        </c:ser>
        <c:ser>
          <c:idx val="1"/>
          <c:order val="1"/>
          <c:dPt>
            <c:idx val="1"/>
            <c:marker>
              <c:spPr>
                <a:ln w="38100"/>
              </c:spPr>
            </c:marker>
            <c:bubble3D val="0"/>
            <c:spPr>
              <a:ln w="38100">
                <a:solidFill>
                  <a:srgbClr val="FF0000"/>
                </a:solidFill>
                <a:prstDash val="dash"/>
              </a:ln>
            </c:spPr>
            <c:extLst>
              <c:ext xmlns:c16="http://schemas.microsoft.com/office/drawing/2014/chart" uri="{C3380CC4-5D6E-409C-BE32-E72D297353CC}">
                <c16:uniqueId val="{00000002-61EA-4375-8AA6-32DC7C46F631}"/>
              </c:ext>
            </c:extLst>
          </c:dPt>
          <c:xVal>
            <c:numRef>
              <c:f>'Step 4'!$C$39:$C$40</c:f>
              <c:numCache>
                <c:formatCode>General</c:formatCode>
                <c:ptCount val="2"/>
              </c:numCache>
            </c:numRef>
          </c:xVal>
          <c:yVal>
            <c:numRef>
              <c:f>'Step 4'!$B$39:$B$40</c:f>
              <c:numCache>
                <c:formatCode>General</c:formatCode>
                <c:ptCount val="2"/>
                <c:pt idx="1">
                  <c:v>0</c:v>
                </c:pt>
              </c:numCache>
            </c:numRef>
          </c:yVal>
          <c:smooth val="1"/>
          <c:extLst>
            <c:ext xmlns:c16="http://schemas.microsoft.com/office/drawing/2014/chart" uri="{C3380CC4-5D6E-409C-BE32-E72D297353CC}">
              <c16:uniqueId val="{00000003-61EA-4375-8AA6-32DC7C46F631}"/>
            </c:ext>
          </c:extLst>
        </c:ser>
        <c:dLbls>
          <c:showLegendKey val="0"/>
          <c:showVal val="0"/>
          <c:showCatName val="0"/>
          <c:showSerName val="0"/>
          <c:showPercent val="0"/>
          <c:showBubbleSize val="0"/>
        </c:dLbls>
        <c:axId val="116040448"/>
        <c:axId val="116042368"/>
      </c:scatterChart>
      <c:valAx>
        <c:axId val="116040448"/>
        <c:scaling>
          <c:orientation val="minMax"/>
        </c:scaling>
        <c:delete val="0"/>
        <c:axPos val="b"/>
        <c:title>
          <c:tx>
            <c:rich>
              <a:bodyPr/>
              <a:lstStyle/>
              <a:p>
                <a:pPr>
                  <a:defRPr sz="1600"/>
                </a:pPr>
                <a:r>
                  <a:rPr lang="en-US" sz="1600"/>
                  <a:t>Costs</a:t>
                </a:r>
              </a:p>
            </c:rich>
          </c:tx>
          <c:overlay val="0"/>
        </c:title>
        <c:numFmt formatCode="&quot;£&quot;#,##0" sourceLinked="1"/>
        <c:majorTickMark val="out"/>
        <c:minorTickMark val="none"/>
        <c:tickLblPos val="nextTo"/>
        <c:crossAx val="116042368"/>
        <c:crosses val="autoZero"/>
        <c:crossBetween val="midCat"/>
      </c:valAx>
      <c:valAx>
        <c:axId val="116042368"/>
        <c:scaling>
          <c:orientation val="minMax"/>
        </c:scaling>
        <c:delete val="0"/>
        <c:axPos val="l"/>
        <c:majorGridlines/>
        <c:title>
          <c:tx>
            <c:rich>
              <a:bodyPr rot="-5400000" vert="horz"/>
              <a:lstStyle/>
              <a:p>
                <a:pPr>
                  <a:defRPr sz="1600"/>
                </a:pPr>
                <a:r>
                  <a:rPr lang="en-US" sz="1600"/>
                  <a:t>Benefits</a:t>
                </a:r>
              </a:p>
            </c:rich>
          </c:tx>
          <c:layout>
            <c:manualLayout>
              <c:xMode val="edge"/>
              <c:yMode val="edge"/>
              <c:x val="7.9657385431354151E-3"/>
              <c:y val="0.36090466272951688"/>
            </c:manualLayout>
          </c:layout>
          <c:overlay val="0"/>
        </c:title>
        <c:numFmt formatCode="&quot;£&quot;#,##0" sourceLinked="1"/>
        <c:majorTickMark val="out"/>
        <c:minorTickMark val="none"/>
        <c:tickLblPos val="nextTo"/>
        <c:crossAx val="116040448"/>
        <c:crosses val="autoZero"/>
        <c:crossBetween val="midCat"/>
      </c:valAx>
      <c:spPr>
        <a:ln w="12700"/>
      </c:spPr>
    </c:plotArea>
    <c:plotVisOnly val="1"/>
    <c:dispBlanksAs val="gap"/>
    <c:showDLblsOverMax val="0"/>
  </c:chart>
  <c:spPr>
    <a:solidFill>
      <a:schemeClr val="accent3">
        <a:lumMod val="40000"/>
        <a:lumOff val="60000"/>
      </a:schemeClr>
    </a:solidFill>
    <a:ln>
      <a:solidFill>
        <a:sysClr val="windowText" lastClr="000000"/>
      </a:solidFill>
    </a:ln>
  </c:spPr>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Step 4'!A1"/><Relationship Id="rId3" Type="http://schemas.openxmlformats.org/officeDocument/2006/relationships/image" Target="../media/image3.jpeg"/><Relationship Id="rId7" Type="http://schemas.openxmlformats.org/officeDocument/2006/relationships/hyperlink" Target="#'Step 3'!A1"/><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hyperlink" Target="#'Step 2'!A1"/><Relationship Id="rId5" Type="http://schemas.openxmlformats.org/officeDocument/2006/relationships/hyperlink" Target="#'Step 1'!A1"/><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hyperlink" Target="#'Step 2'!A1"/></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Step 3'!A1"/><Relationship Id="rId1" Type="http://schemas.openxmlformats.org/officeDocument/2006/relationships/hyperlink" Target="http://www.mcm-online.co.uk/handbook/"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tep 4'!A1"/></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dex!A1"/><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4761</xdr:colOff>
      <xdr:row>4</xdr:row>
      <xdr:rowOff>161925</xdr:rowOff>
    </xdr:from>
    <xdr:to>
      <xdr:col>18</xdr:col>
      <xdr:colOff>130969</xdr:colOff>
      <xdr:row>12</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71449" y="923925"/>
          <a:ext cx="10448926" cy="136207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mn-lt"/>
              <a:ea typeface="+mn-ea"/>
              <a:cs typeface="+mn-cs"/>
            </a:rPr>
            <a:t>A Word of caution:</a:t>
          </a:r>
          <a:br>
            <a:rPr lang="en-US" sz="1400" b="0">
              <a:solidFill>
                <a:schemeClr val="dk1"/>
              </a:solidFill>
              <a:effectLst/>
              <a:latin typeface="+mn-lt"/>
              <a:ea typeface="+mn-ea"/>
              <a:cs typeface="+mn-cs"/>
            </a:rPr>
          </a:br>
          <a:br>
            <a:rPr lang="en-US" sz="800" b="0">
              <a:solidFill>
                <a:schemeClr val="dk1"/>
              </a:solidFill>
              <a:effectLst/>
              <a:latin typeface="+mn-lt"/>
              <a:ea typeface="+mn-ea"/>
              <a:cs typeface="+mn-cs"/>
            </a:rPr>
          </a:br>
          <a:r>
            <a:rPr lang="en-US" sz="1400">
              <a:solidFill>
                <a:schemeClr val="dk1"/>
              </a:solidFill>
              <a:effectLst/>
              <a:latin typeface="+mn-lt"/>
              <a:ea typeface="+mn-ea"/>
              <a:cs typeface="+mn-cs"/>
            </a:rPr>
            <a:t>This is a somewhat complex spreadsheet, incorporating all the stages in calculating the benefit:cost ratio and other indices of scheme worthwhileness. It is not for the novice, because the complexity will be somewhat off-putting. It is also somewhat simplified, in that average flood depths are used for properties affected, rather than individual property levels and resulting flood depths. It is a tool to be “played with”, rather than used as a serious project appraisal calculator.</a:t>
          </a:r>
          <a:endParaRPr lang="en-GB" sz="1400">
            <a:solidFill>
              <a:schemeClr val="dk1"/>
            </a:solidFill>
            <a:effectLst/>
            <a:latin typeface="+mn-lt"/>
            <a:ea typeface="+mn-ea"/>
            <a:cs typeface="+mn-cs"/>
          </a:endParaRPr>
        </a:p>
        <a:p>
          <a:endParaRPr lang="en-GB" sz="1100"/>
        </a:p>
      </xdr:txBody>
    </xdr:sp>
    <xdr:clientData/>
  </xdr:twoCellAnchor>
  <xdr:twoCellAnchor>
    <xdr:from>
      <xdr:col>0</xdr:col>
      <xdr:colOff>161923</xdr:colOff>
      <xdr:row>0</xdr:row>
      <xdr:rowOff>123826</xdr:rowOff>
    </xdr:from>
    <xdr:to>
      <xdr:col>18</xdr:col>
      <xdr:colOff>154781</xdr:colOff>
      <xdr:row>4</xdr:row>
      <xdr:rowOff>9526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61923" y="123826"/>
          <a:ext cx="10482264" cy="6477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2400" b="1">
              <a:solidFill>
                <a:schemeClr val="dk1"/>
              </a:solidFill>
              <a:effectLst/>
              <a:latin typeface="+mn-lt"/>
              <a:ea typeface="+mn-ea"/>
              <a:cs typeface="+mn-cs"/>
            </a:rPr>
            <a:t>A simplified benefit:cost</a:t>
          </a:r>
          <a:r>
            <a:rPr lang="en-GB" sz="2400" b="1" baseline="0">
              <a:solidFill>
                <a:schemeClr val="dk1"/>
              </a:solidFill>
              <a:effectLst/>
              <a:latin typeface="+mn-lt"/>
              <a:ea typeface="+mn-ea"/>
              <a:cs typeface="+mn-cs"/>
            </a:rPr>
            <a:t> appraisal tool for flood risk management (Issue 1; 2026)</a:t>
          </a:r>
          <a:endParaRPr lang="en-GB" sz="2400">
            <a:solidFill>
              <a:schemeClr val="dk1"/>
            </a:solidFill>
            <a:effectLst/>
            <a:latin typeface="+mn-lt"/>
            <a:ea typeface="+mn-ea"/>
            <a:cs typeface="+mn-cs"/>
          </a:endParaRPr>
        </a:p>
      </xdr:txBody>
    </xdr:sp>
    <xdr:clientData/>
  </xdr:twoCellAnchor>
  <xdr:twoCellAnchor>
    <xdr:from>
      <xdr:col>3</xdr:col>
      <xdr:colOff>559593</xdr:colOff>
      <xdr:row>32</xdr:row>
      <xdr:rowOff>178593</xdr:rowOff>
    </xdr:from>
    <xdr:to>
      <xdr:col>13</xdr:col>
      <xdr:colOff>233362</xdr:colOff>
      <xdr:row>37</xdr:row>
      <xdr:rowOff>128587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1955799" y="5956299"/>
          <a:ext cx="5745957" cy="836613"/>
          <a:chOff x="1436651" y="6048374"/>
          <a:chExt cx="7497799" cy="1209675"/>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6651" y="6048374"/>
            <a:ext cx="1209675" cy="1209675"/>
          </a:xfrm>
          <a:prstGeom prst="rect">
            <a:avLst/>
          </a:prstGeom>
          <a:ln>
            <a:noFill/>
          </a:ln>
        </xdr:spPr>
      </xdr:pic>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0050" y="6181725"/>
            <a:ext cx="1828799" cy="921854"/>
          </a:xfrm>
          <a:prstGeom prst="rect">
            <a:avLst/>
          </a:prstGeom>
          <a:ln>
            <a:noFill/>
          </a:ln>
        </xdr:spPr>
      </xdr:pic>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53150" y="6191250"/>
            <a:ext cx="2781300" cy="880968"/>
          </a:xfrm>
          <a:prstGeom prst="rect">
            <a:avLst/>
          </a:prstGeom>
          <a:ln>
            <a:noFill/>
          </a:ln>
        </xdr:spPr>
      </xdr:pic>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17001" y="6217425"/>
            <a:ext cx="1129399" cy="878657"/>
          </a:xfrm>
          <a:prstGeom prst="rect">
            <a:avLst/>
          </a:prstGeom>
          <a:ln>
            <a:noFill/>
          </a:ln>
        </xdr:spPr>
      </xdr:pic>
    </xdr:grpSp>
    <xdr:clientData/>
  </xdr:twoCellAnchor>
  <xdr:twoCellAnchor>
    <xdr:from>
      <xdr:col>1</xdr:col>
      <xdr:colOff>19050</xdr:colOff>
      <xdr:row>15</xdr:row>
      <xdr:rowOff>28575</xdr:rowOff>
    </xdr:from>
    <xdr:to>
      <xdr:col>7</xdr:col>
      <xdr:colOff>447675</xdr:colOff>
      <xdr:row>18</xdr:row>
      <xdr:rowOff>47625</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197644" y="2704306"/>
          <a:ext cx="4068762" cy="614363"/>
          <a:chOff x="190500" y="2886075"/>
          <a:chExt cx="4086225" cy="638175"/>
        </a:xfrm>
      </xdr:grpSpPr>
      <xdr:sp macro="" textlink="">
        <xdr:nvSpPr>
          <xdr:cNvPr id="2" name="TextBox 1">
            <a:hlinkClick xmlns:r="http://schemas.openxmlformats.org/officeDocument/2006/relationships" r:id="rId5"/>
            <a:extLst>
              <a:ext uri="{FF2B5EF4-FFF2-40B4-BE49-F238E27FC236}">
                <a16:creationId xmlns:a16="http://schemas.microsoft.com/office/drawing/2014/main" id="{00000000-0008-0000-0000-000002000000}"/>
              </a:ext>
            </a:extLst>
          </xdr:cNvPr>
          <xdr:cNvSpPr txBox="1"/>
        </xdr:nvSpPr>
        <xdr:spPr>
          <a:xfrm>
            <a:off x="190500" y="2886075"/>
            <a:ext cx="600075" cy="638175"/>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t>1</a:t>
            </a:r>
          </a:p>
        </xdr:txBody>
      </xdr:sp>
      <xdr:sp macro="" textlink="">
        <xdr:nvSpPr>
          <xdr:cNvPr id="13" name="TextBox 12">
            <a:hlinkClick xmlns:r="http://schemas.openxmlformats.org/officeDocument/2006/relationships" r:id="rId5"/>
            <a:extLst>
              <a:ext uri="{FF2B5EF4-FFF2-40B4-BE49-F238E27FC236}">
                <a16:creationId xmlns:a16="http://schemas.microsoft.com/office/drawing/2014/main" id="{00000000-0008-0000-0000-00000D000000}"/>
              </a:ext>
            </a:extLst>
          </xdr:cNvPr>
          <xdr:cNvSpPr txBox="1"/>
        </xdr:nvSpPr>
        <xdr:spPr>
          <a:xfrm>
            <a:off x="838200" y="2886075"/>
            <a:ext cx="3438525" cy="638175"/>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a:t>Calculate</a:t>
            </a:r>
            <a:r>
              <a:rPr lang="en-GB" sz="1600" baseline="0"/>
              <a:t> the number of properties at risk for each return period</a:t>
            </a:r>
            <a:endParaRPr lang="en-GB" sz="1600"/>
          </a:p>
        </xdr:txBody>
      </xdr:sp>
    </xdr:grpSp>
    <xdr:clientData/>
  </xdr:twoCellAnchor>
  <xdr:twoCellAnchor>
    <xdr:from>
      <xdr:col>1</xdr:col>
      <xdr:colOff>19050</xdr:colOff>
      <xdr:row>19</xdr:row>
      <xdr:rowOff>0</xdr:rowOff>
    </xdr:from>
    <xdr:to>
      <xdr:col>7</xdr:col>
      <xdr:colOff>447675</xdr:colOff>
      <xdr:row>22</xdr:row>
      <xdr:rowOff>19050</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197644" y="3452813"/>
          <a:ext cx="4068762" cy="554831"/>
          <a:chOff x="190500" y="3667125"/>
          <a:chExt cx="4086225" cy="590550"/>
        </a:xfrm>
      </xdr:grpSpPr>
      <xdr:sp macro="" textlink="">
        <xdr:nvSpPr>
          <xdr:cNvPr id="14" name="TextBox 13">
            <a:hlinkClick xmlns:r="http://schemas.openxmlformats.org/officeDocument/2006/relationships" r:id="rId6"/>
            <a:extLst>
              <a:ext uri="{FF2B5EF4-FFF2-40B4-BE49-F238E27FC236}">
                <a16:creationId xmlns:a16="http://schemas.microsoft.com/office/drawing/2014/main" id="{00000000-0008-0000-0000-00000E000000}"/>
              </a:ext>
            </a:extLst>
          </xdr:cNvPr>
          <xdr:cNvSpPr txBox="1"/>
        </xdr:nvSpPr>
        <xdr:spPr>
          <a:xfrm>
            <a:off x="828675" y="3667125"/>
            <a:ext cx="3448050" cy="590549"/>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a:t>Assign the correct</a:t>
            </a:r>
            <a:r>
              <a:rPr lang="en-GB" sz="1600" baseline="0"/>
              <a:t> depth-damage value from the Multi-Coloured Manual data</a:t>
            </a:r>
            <a:endParaRPr lang="en-GB" sz="1600"/>
          </a:p>
        </xdr:txBody>
      </xdr:sp>
      <xdr:sp macro="" textlink="">
        <xdr:nvSpPr>
          <xdr:cNvPr id="17" name="TextBox 16">
            <a:hlinkClick xmlns:r="http://schemas.openxmlformats.org/officeDocument/2006/relationships" r:id="rId6"/>
            <a:extLst>
              <a:ext uri="{FF2B5EF4-FFF2-40B4-BE49-F238E27FC236}">
                <a16:creationId xmlns:a16="http://schemas.microsoft.com/office/drawing/2014/main" id="{00000000-0008-0000-0000-000011000000}"/>
              </a:ext>
            </a:extLst>
          </xdr:cNvPr>
          <xdr:cNvSpPr txBox="1"/>
        </xdr:nvSpPr>
        <xdr:spPr>
          <a:xfrm>
            <a:off x="190500" y="3667125"/>
            <a:ext cx="600075" cy="590550"/>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t>2</a:t>
            </a:r>
          </a:p>
        </xdr:txBody>
      </xdr:sp>
    </xdr:grpSp>
    <xdr:clientData/>
  </xdr:twoCellAnchor>
  <xdr:twoCellAnchor>
    <xdr:from>
      <xdr:col>1</xdr:col>
      <xdr:colOff>9525</xdr:colOff>
      <xdr:row>22</xdr:row>
      <xdr:rowOff>171450</xdr:rowOff>
    </xdr:from>
    <xdr:to>
      <xdr:col>7</xdr:col>
      <xdr:colOff>445729</xdr:colOff>
      <xdr:row>26</xdr:row>
      <xdr:rowOff>0</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184944" y="4160044"/>
          <a:ext cx="4085866" cy="542925"/>
          <a:chOff x="180975" y="4410075"/>
          <a:chExt cx="4093804" cy="590550"/>
        </a:xfrm>
      </xdr:grpSpPr>
      <xdr:sp macro="" textlink="">
        <xdr:nvSpPr>
          <xdr:cNvPr id="15" name="TextBox 14">
            <a:hlinkClick xmlns:r="http://schemas.openxmlformats.org/officeDocument/2006/relationships" r:id="rId7"/>
            <a:extLst>
              <a:ext uri="{FF2B5EF4-FFF2-40B4-BE49-F238E27FC236}">
                <a16:creationId xmlns:a16="http://schemas.microsoft.com/office/drawing/2014/main" id="{00000000-0008-0000-0000-00000F000000}"/>
              </a:ext>
            </a:extLst>
          </xdr:cNvPr>
          <xdr:cNvSpPr txBox="1"/>
        </xdr:nvSpPr>
        <xdr:spPr>
          <a:xfrm>
            <a:off x="828675" y="4410075"/>
            <a:ext cx="3446104" cy="590549"/>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a:t>Calculate</a:t>
            </a:r>
            <a:r>
              <a:rPr lang="en-GB" sz="1600" baseline="0"/>
              <a:t> the discounted annual average damages</a:t>
            </a:r>
            <a:endParaRPr lang="en-GB" sz="1600"/>
          </a:p>
        </xdr:txBody>
      </xdr:sp>
      <xdr:sp macro="" textlink="">
        <xdr:nvSpPr>
          <xdr:cNvPr id="18" name="TextBox 17">
            <a:hlinkClick xmlns:r="http://schemas.openxmlformats.org/officeDocument/2006/relationships" r:id="rId7"/>
            <a:extLst>
              <a:ext uri="{FF2B5EF4-FFF2-40B4-BE49-F238E27FC236}">
                <a16:creationId xmlns:a16="http://schemas.microsoft.com/office/drawing/2014/main" id="{00000000-0008-0000-0000-000012000000}"/>
              </a:ext>
            </a:extLst>
          </xdr:cNvPr>
          <xdr:cNvSpPr txBox="1"/>
        </xdr:nvSpPr>
        <xdr:spPr>
          <a:xfrm>
            <a:off x="180975" y="4410075"/>
            <a:ext cx="600075" cy="590550"/>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t>3</a:t>
            </a:r>
          </a:p>
        </xdr:txBody>
      </xdr:sp>
    </xdr:grpSp>
    <xdr:clientData/>
  </xdr:twoCellAnchor>
  <xdr:twoCellAnchor>
    <xdr:from>
      <xdr:col>1</xdr:col>
      <xdr:colOff>9525</xdr:colOff>
      <xdr:row>26</xdr:row>
      <xdr:rowOff>123825</xdr:rowOff>
    </xdr:from>
    <xdr:to>
      <xdr:col>7</xdr:col>
      <xdr:colOff>447674</xdr:colOff>
      <xdr:row>29</xdr:row>
      <xdr:rowOff>142876</xdr:rowOff>
    </xdr:to>
    <xdr:grpSp>
      <xdr:nvGrpSpPr>
        <xdr:cNvPr id="31" name="Group 30">
          <a:extLst>
            <a:ext uri="{FF2B5EF4-FFF2-40B4-BE49-F238E27FC236}">
              <a16:creationId xmlns:a16="http://schemas.microsoft.com/office/drawing/2014/main" id="{00000000-0008-0000-0000-00001F000000}"/>
            </a:ext>
          </a:extLst>
        </xdr:cNvPr>
        <xdr:cNvGrpSpPr/>
      </xdr:nvGrpSpPr>
      <xdr:grpSpPr>
        <a:xfrm>
          <a:off x="184944" y="4823619"/>
          <a:ext cx="4087811" cy="554832"/>
          <a:chOff x="180975" y="5124450"/>
          <a:chExt cx="4095749" cy="590551"/>
        </a:xfrm>
      </xdr:grpSpPr>
      <xdr:sp macro="" textlink="">
        <xdr:nvSpPr>
          <xdr:cNvPr id="16" name="TextBox 15">
            <a:hlinkClick xmlns:r="http://schemas.openxmlformats.org/officeDocument/2006/relationships" r:id="rId8"/>
            <a:extLst>
              <a:ext uri="{FF2B5EF4-FFF2-40B4-BE49-F238E27FC236}">
                <a16:creationId xmlns:a16="http://schemas.microsoft.com/office/drawing/2014/main" id="{00000000-0008-0000-0000-000010000000}"/>
              </a:ext>
            </a:extLst>
          </xdr:cNvPr>
          <xdr:cNvSpPr txBox="1"/>
        </xdr:nvSpPr>
        <xdr:spPr>
          <a:xfrm>
            <a:off x="819149" y="5124450"/>
            <a:ext cx="3457575" cy="590549"/>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a:t>Calculate the Benefit:Cost Ratio and</a:t>
            </a:r>
            <a:r>
              <a:rPr lang="en-GB" sz="1600" baseline="0"/>
              <a:t> select the most worthwhile scheme</a:t>
            </a:r>
            <a:endParaRPr lang="en-GB" sz="1600"/>
          </a:p>
        </xdr:txBody>
      </xdr:sp>
      <xdr:sp macro="" textlink="">
        <xdr:nvSpPr>
          <xdr:cNvPr id="19" name="TextBox 18">
            <a:hlinkClick xmlns:r="http://schemas.openxmlformats.org/officeDocument/2006/relationships" r:id="rId8"/>
            <a:extLst>
              <a:ext uri="{FF2B5EF4-FFF2-40B4-BE49-F238E27FC236}">
                <a16:creationId xmlns:a16="http://schemas.microsoft.com/office/drawing/2014/main" id="{00000000-0008-0000-0000-000013000000}"/>
              </a:ext>
            </a:extLst>
          </xdr:cNvPr>
          <xdr:cNvSpPr txBox="1"/>
        </xdr:nvSpPr>
        <xdr:spPr>
          <a:xfrm>
            <a:off x="180975" y="5124451"/>
            <a:ext cx="600075" cy="590550"/>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t>4</a:t>
            </a:r>
          </a:p>
        </xdr:txBody>
      </xdr:sp>
    </xdr:grpSp>
    <xdr:clientData/>
  </xdr:twoCellAnchor>
  <xdr:twoCellAnchor>
    <xdr:from>
      <xdr:col>1</xdr:col>
      <xdr:colOff>1</xdr:colOff>
      <xdr:row>12</xdr:row>
      <xdr:rowOff>123825</xdr:rowOff>
    </xdr:from>
    <xdr:to>
      <xdr:col>7</xdr:col>
      <xdr:colOff>438150</xdr:colOff>
      <xdr:row>14</xdr:row>
      <xdr:rowOff>95250</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171451" y="2409825"/>
          <a:ext cx="4095749" cy="3524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Select one of the steps below: </a:t>
          </a:r>
          <a:endParaRPr lang="en-GB" sz="1400">
            <a:solidFill>
              <a:schemeClr val="dk1"/>
            </a:solidFill>
            <a:effectLst/>
            <a:latin typeface="+mn-lt"/>
            <a:ea typeface="+mn-ea"/>
            <a:cs typeface="+mn-cs"/>
          </a:endParaRPr>
        </a:p>
      </xdr:txBody>
    </xdr:sp>
    <xdr:clientData/>
  </xdr:twoCellAnchor>
  <xdr:twoCellAnchor>
    <xdr:from>
      <xdr:col>9</xdr:col>
      <xdr:colOff>511968</xdr:colOff>
      <xdr:row>13</xdr:row>
      <xdr:rowOff>119062</xdr:rowOff>
    </xdr:from>
    <xdr:to>
      <xdr:col>14</xdr:col>
      <xdr:colOff>250031</xdr:colOff>
      <xdr:row>25</xdr:row>
      <xdr:rowOff>154781</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5536406" y="2595562"/>
          <a:ext cx="2774156" cy="23693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7</xdr:row>
      <xdr:rowOff>21522</xdr:rowOff>
    </xdr:from>
    <xdr:to>
      <xdr:col>9</xdr:col>
      <xdr:colOff>158960</xdr:colOff>
      <xdr:row>23</xdr:row>
      <xdr:rowOff>102995</xdr:rowOff>
    </xdr:to>
    <xdr:pic>
      <xdr:nvPicPr>
        <xdr:cNvPr id="2" name="Picture 1" descr="wmts[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80" t="40385" r="37524"/>
        <a:stretch/>
      </xdr:blipFill>
      <xdr:spPr bwMode="auto">
        <a:xfrm>
          <a:off x="171450" y="1355022"/>
          <a:ext cx="5473910" cy="3129473"/>
        </a:xfrm>
        <a:prstGeom prst="rect">
          <a:avLst/>
        </a:prstGeom>
        <a:solidFill>
          <a:srgbClr val="FFFFFF">
            <a:shade val="85000"/>
          </a:srgbClr>
        </a:solidFill>
        <a:ln w="38100">
          <a:solidFill>
            <a:srgbClr val="000000"/>
          </a:solidFill>
          <a:miter lim="800000"/>
          <a:headEnd/>
          <a:tailEnd/>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8</xdr:col>
      <xdr:colOff>116833</xdr:colOff>
      <xdr:row>15</xdr:row>
      <xdr:rowOff>149887</xdr:rowOff>
    </xdr:from>
    <xdr:to>
      <xdr:col>12</xdr:col>
      <xdr:colOff>266094</xdr:colOff>
      <xdr:row>31</xdr:row>
      <xdr:rowOff>123831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cstate="print">
          <a:lum bright="20000"/>
          <a:extLst>
            <a:ext uri="{BEBA8EAE-BF5A-486C-A8C5-ECC9F3942E4B}">
              <a14:imgProps xmlns:a14="http://schemas.microsoft.com/office/drawing/2010/main">
                <a14:imgLayer r:embed="rId3">
                  <a14:imgEffect>
                    <a14:sharpenSoften amount="25000"/>
                  </a14:imgEffect>
                </a14:imgLayer>
              </a14:imgProps>
            </a:ext>
          </a:extLst>
        </a:blip>
        <a:srcRect l="46711" t="33647" r="10800" b="27294"/>
        <a:stretch/>
      </xdr:blipFill>
      <xdr:spPr>
        <a:xfrm>
          <a:off x="7218250" y="2785137"/>
          <a:ext cx="4836167" cy="3018769"/>
        </a:xfrm>
        <a:prstGeom prst="rect">
          <a:avLst/>
        </a:prstGeom>
        <a:ln w="38100">
          <a:solidFill>
            <a:sysClr val="windowText" lastClr="000000"/>
          </a:solidFill>
        </a:ln>
      </xdr:spPr>
    </xdr:pic>
    <xdr:clientData/>
  </xdr:twoCellAnchor>
  <xdr:twoCellAnchor>
    <xdr:from>
      <xdr:col>9</xdr:col>
      <xdr:colOff>313954</xdr:colOff>
      <xdr:row>6</xdr:row>
      <xdr:rowOff>126999</xdr:rowOff>
    </xdr:from>
    <xdr:to>
      <xdr:col>11</xdr:col>
      <xdr:colOff>896520</xdr:colOff>
      <xdr:row>12</xdr:row>
      <xdr:rowOff>146050</xdr:rowOff>
    </xdr:to>
    <xdr:sp macro="" textlink="">
      <xdr:nvSpPr>
        <xdr:cNvPr id="5" name="Rectangular Callout 4">
          <a:extLst>
            <a:ext uri="{FF2B5EF4-FFF2-40B4-BE49-F238E27FC236}">
              <a16:creationId xmlns:a16="http://schemas.microsoft.com/office/drawing/2014/main" id="{00000000-0008-0000-0100-000005000000}"/>
            </a:ext>
          </a:extLst>
        </xdr:cNvPr>
        <xdr:cNvSpPr/>
      </xdr:nvSpPr>
      <xdr:spPr>
        <a:xfrm>
          <a:off x="8029204" y="1047749"/>
          <a:ext cx="2974399" cy="1162051"/>
        </a:xfrm>
        <a:prstGeom prst="wedgeRectCallout">
          <a:avLst>
            <a:gd name="adj1" fmla="val -169595"/>
            <a:gd name="adj2" fmla="val 58742"/>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Hydrological/hydraulic data will be needed on the return period of flood events (at least 4,</a:t>
          </a:r>
          <a:r>
            <a:rPr lang="en-GB" sz="1100" baseline="0">
              <a:solidFill>
                <a:sysClr val="windowText" lastClr="000000"/>
              </a:solidFill>
            </a:rPr>
            <a:t> ideally 6</a:t>
          </a:r>
          <a:r>
            <a:rPr lang="en-GB" sz="1100">
              <a:solidFill>
                <a:sysClr val="windowText" lastClr="000000"/>
              </a:solidFill>
            </a:rPr>
            <a:t>), and the flood depths at each property.</a:t>
          </a:r>
        </a:p>
      </xdr:txBody>
    </xdr:sp>
    <xdr:clientData/>
  </xdr:twoCellAnchor>
  <xdr:twoCellAnchor>
    <xdr:from>
      <xdr:col>8</xdr:col>
      <xdr:colOff>104271</xdr:colOff>
      <xdr:row>32</xdr:row>
      <xdr:rowOff>8940</xdr:rowOff>
    </xdr:from>
    <xdr:to>
      <xdr:col>13</xdr:col>
      <xdr:colOff>84667</xdr:colOff>
      <xdr:row>33</xdr:row>
      <xdr:rowOff>164041</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7205688" y="5882690"/>
          <a:ext cx="4912229" cy="345601"/>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600" b="1"/>
            <a:t>The village of Wolvercote,  5km north of Oxford</a:t>
          </a:r>
        </a:p>
      </xdr:txBody>
    </xdr:sp>
    <xdr:clientData/>
  </xdr:twoCellAnchor>
  <xdr:twoCellAnchor>
    <xdr:from>
      <xdr:col>0</xdr:col>
      <xdr:colOff>180976</xdr:colOff>
      <xdr:row>1</xdr:row>
      <xdr:rowOff>12895</xdr:rowOff>
    </xdr:from>
    <xdr:to>
      <xdr:col>1</xdr:col>
      <xdr:colOff>600075</xdr:colOff>
      <xdr:row>6</xdr:row>
      <xdr:rowOff>12672</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80976" y="117670"/>
          <a:ext cx="714374" cy="809402"/>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6000"/>
            <a:t>1</a:t>
          </a:r>
        </a:p>
      </xdr:txBody>
    </xdr:sp>
    <xdr:clientData/>
  </xdr:twoCellAnchor>
  <xdr:twoCellAnchor>
    <xdr:from>
      <xdr:col>7</xdr:col>
      <xdr:colOff>73025</xdr:colOff>
      <xdr:row>46</xdr:row>
      <xdr:rowOff>166160</xdr:rowOff>
    </xdr:from>
    <xdr:to>
      <xdr:col>11</xdr:col>
      <xdr:colOff>1238251</xdr:colOff>
      <xdr:row>50</xdr:row>
      <xdr:rowOff>21166</xdr:rowOff>
    </xdr:to>
    <xdr:sp macro="" textlink="">
      <xdr:nvSpPr>
        <xdr:cNvPr id="10" name="Rectangular Callout 9">
          <a:extLst>
            <a:ext uri="{FF2B5EF4-FFF2-40B4-BE49-F238E27FC236}">
              <a16:creationId xmlns:a16="http://schemas.microsoft.com/office/drawing/2014/main" id="{00000000-0008-0000-0100-00000A000000}"/>
            </a:ext>
          </a:extLst>
        </xdr:cNvPr>
        <xdr:cNvSpPr/>
      </xdr:nvSpPr>
      <xdr:spPr>
        <a:xfrm>
          <a:off x="6274858" y="9521827"/>
          <a:ext cx="5070476" cy="617006"/>
        </a:xfrm>
        <a:prstGeom prst="wedgeRectCallout">
          <a:avLst>
            <a:gd name="adj1" fmla="val -41187"/>
            <a:gd name="adj2" fmla="val -99456"/>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The depth/damage</a:t>
          </a:r>
          <a:r>
            <a:rPr lang="en-GB" sz="1100" baseline="0">
              <a:solidFill>
                <a:sysClr val="windowText" lastClr="000000"/>
              </a:solidFill>
            </a:rPr>
            <a:t> </a:t>
          </a:r>
          <a:r>
            <a:rPr lang="en-GB" sz="1100">
              <a:solidFill>
                <a:sysClr val="windowText" lastClr="000000"/>
              </a:solidFill>
            </a:rPr>
            <a:t>data is put into this table</a:t>
          </a:r>
          <a:r>
            <a:rPr lang="en-GB" sz="1100" baseline="0">
              <a:solidFill>
                <a:sysClr val="windowText" lastClr="000000"/>
              </a:solidFill>
            </a:rPr>
            <a:t> which records the number of properties affected by each return period flood, and the mean depths of that flooding. The use of mean depth simplifies the table.</a:t>
          </a:r>
          <a:endParaRPr lang="en-GB" sz="1100" b="0">
            <a:solidFill>
              <a:sysClr val="windowText" lastClr="000000"/>
            </a:solidFill>
          </a:endParaRPr>
        </a:p>
      </xdr:txBody>
    </xdr:sp>
    <xdr:clientData/>
  </xdr:twoCellAnchor>
  <xdr:twoCellAnchor>
    <xdr:from>
      <xdr:col>7</xdr:col>
      <xdr:colOff>381192</xdr:colOff>
      <xdr:row>16</xdr:row>
      <xdr:rowOff>11067</xdr:rowOff>
    </xdr:from>
    <xdr:to>
      <xdr:col>9</xdr:col>
      <xdr:colOff>1072093</xdr:colOff>
      <xdr:row>19</xdr:row>
      <xdr:rowOff>48684</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6583025" y="2836817"/>
          <a:ext cx="2204318" cy="609117"/>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GB" sz="1400" b="1"/>
            <a:t>The river Thames </a:t>
          </a:r>
        </a:p>
        <a:p>
          <a:pPr algn="ctr"/>
          <a:r>
            <a:rPr lang="en-GB" sz="1400" b="1"/>
            <a:t>floodplain</a:t>
          </a:r>
        </a:p>
      </xdr:txBody>
    </xdr:sp>
    <xdr:clientData/>
  </xdr:twoCellAnchor>
  <xdr:twoCellAnchor>
    <xdr:from>
      <xdr:col>0</xdr:col>
      <xdr:colOff>66674</xdr:colOff>
      <xdr:row>47</xdr:row>
      <xdr:rowOff>13756</xdr:rowOff>
    </xdr:from>
    <xdr:to>
      <xdr:col>6</xdr:col>
      <xdr:colOff>740835</xdr:colOff>
      <xdr:row>50</xdr:row>
      <xdr:rowOff>52915</xdr:rowOff>
    </xdr:to>
    <xdr:sp macro="" textlink="">
      <xdr:nvSpPr>
        <xdr:cNvPr id="13" name="Rectangular Callout 12">
          <a:extLst>
            <a:ext uri="{FF2B5EF4-FFF2-40B4-BE49-F238E27FC236}">
              <a16:creationId xmlns:a16="http://schemas.microsoft.com/office/drawing/2014/main" id="{00000000-0008-0000-0100-00000D000000}"/>
            </a:ext>
          </a:extLst>
        </xdr:cNvPr>
        <xdr:cNvSpPr/>
      </xdr:nvSpPr>
      <xdr:spPr>
        <a:xfrm>
          <a:off x="66674" y="9559923"/>
          <a:ext cx="5828244" cy="610659"/>
        </a:xfrm>
        <a:prstGeom prst="wedgeRectCallout">
          <a:avLst>
            <a:gd name="adj1" fmla="val -38555"/>
            <a:gd name="adj2" fmla="val -109186"/>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GB" sz="1100" b="0">
              <a:solidFill>
                <a:sysClr val="windowText" lastClr="000000"/>
              </a:solidFill>
              <a:effectLst/>
              <a:latin typeface="+mn-lt"/>
              <a:ea typeface="+mn-ea"/>
              <a:cs typeface="+mn-cs"/>
            </a:rPr>
            <a:t>These Return Period numbers are central to the whole calculation. They can be values determined by the user of this tool, and are not standard. At least four are needed for accurate results; the more the better.</a:t>
          </a:r>
          <a:endParaRPr lang="en-GB">
            <a:solidFill>
              <a:sysClr val="windowText" lastClr="000000"/>
            </a:solidFill>
            <a:effectLst/>
          </a:endParaRPr>
        </a:p>
        <a:p>
          <a:pPr algn="l"/>
          <a:endParaRPr lang="en-GB" sz="1100">
            <a:solidFill>
              <a:sysClr val="windowText" lastClr="000000"/>
            </a:solidFill>
          </a:endParaRPr>
        </a:p>
      </xdr:txBody>
    </xdr:sp>
    <xdr:clientData/>
  </xdr:twoCellAnchor>
  <xdr:twoCellAnchor>
    <xdr:from>
      <xdr:col>15</xdr:col>
      <xdr:colOff>261938</xdr:colOff>
      <xdr:row>0</xdr:row>
      <xdr:rowOff>61911</xdr:rowOff>
    </xdr:from>
    <xdr:to>
      <xdr:col>17</xdr:col>
      <xdr:colOff>219075</xdr:colOff>
      <xdr:row>6</xdr:row>
      <xdr:rowOff>95246</xdr:rowOff>
    </xdr:to>
    <xdr:sp macro="" textlink="">
      <xdr:nvSpPr>
        <xdr:cNvPr id="15" name="Down Arrow 14">
          <a:hlinkClick xmlns:r="http://schemas.openxmlformats.org/officeDocument/2006/relationships" r:id="rId4"/>
          <a:extLst>
            <a:ext uri="{FF2B5EF4-FFF2-40B4-BE49-F238E27FC236}">
              <a16:creationId xmlns:a16="http://schemas.microsoft.com/office/drawing/2014/main" id="{00000000-0008-0000-0100-00000F000000}"/>
            </a:ext>
          </a:extLst>
        </xdr:cNvPr>
        <xdr:cNvSpPr/>
      </xdr:nvSpPr>
      <xdr:spPr>
        <a:xfrm rot="16200000">
          <a:off x="9491664" y="-52390"/>
          <a:ext cx="947735" cy="1176337"/>
        </a:xfrm>
        <a:prstGeom prst="downArrow">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0"/>
        <a:lstStyle/>
        <a:p>
          <a:pPr algn="r"/>
          <a:r>
            <a:rPr lang="en-GB" sz="2000">
              <a:solidFill>
                <a:sysClr val="windowText" lastClr="000000"/>
              </a:solidFill>
            </a:rPr>
            <a:t>STEP 2</a:t>
          </a:r>
        </a:p>
      </xdr:txBody>
    </xdr:sp>
    <xdr:clientData/>
  </xdr:twoCellAnchor>
  <xdr:twoCellAnchor>
    <xdr:from>
      <xdr:col>10</xdr:col>
      <xdr:colOff>1003904</xdr:colOff>
      <xdr:row>22</xdr:row>
      <xdr:rowOff>21166</xdr:rowOff>
    </xdr:from>
    <xdr:to>
      <xdr:col>14</xdr:col>
      <xdr:colOff>157719</xdr:colOff>
      <xdr:row>26</xdr:row>
      <xdr:rowOff>21167</xdr:rowOff>
    </xdr:to>
    <xdr:sp macro="" textlink="">
      <xdr:nvSpPr>
        <xdr:cNvPr id="12" name="Rectangular Callout 11">
          <a:extLst>
            <a:ext uri="{FF2B5EF4-FFF2-40B4-BE49-F238E27FC236}">
              <a16:creationId xmlns:a16="http://schemas.microsoft.com/office/drawing/2014/main" id="{00000000-0008-0000-0100-00000C000000}"/>
            </a:ext>
          </a:extLst>
        </xdr:cNvPr>
        <xdr:cNvSpPr/>
      </xdr:nvSpPr>
      <xdr:spPr>
        <a:xfrm>
          <a:off x="10297583" y="3994452"/>
          <a:ext cx="2977422" cy="762001"/>
        </a:xfrm>
        <a:prstGeom prst="wedgeRectCallout">
          <a:avLst>
            <a:gd name="adj1" fmla="val -39011"/>
            <a:gd name="adj2" fmla="val 148177"/>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Take land use data from maps, separating out (a) residential properties from (b) non-residential properties (NRPs). </a:t>
          </a:r>
        </a:p>
      </xdr:txBody>
    </xdr:sp>
    <xdr:clientData/>
  </xdr:twoCellAnchor>
  <xdr:twoCellAnchor>
    <xdr:from>
      <xdr:col>1</xdr:col>
      <xdr:colOff>31750</xdr:colOff>
      <xdr:row>24</xdr:row>
      <xdr:rowOff>31750</xdr:rowOff>
    </xdr:from>
    <xdr:to>
      <xdr:col>7</xdr:col>
      <xdr:colOff>846667</xdr:colOff>
      <xdr:row>33</xdr:row>
      <xdr:rowOff>169333</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328083" y="4381500"/>
          <a:ext cx="6720417" cy="1852083"/>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GB" sz="1100" b="0" i="0" u="none" strike="noStrike">
              <a:solidFill>
                <a:schemeClr val="dk1"/>
              </a:solidFill>
              <a:effectLst/>
              <a:latin typeface="+mn-lt"/>
              <a:ea typeface="+mn-ea"/>
              <a:cs typeface="+mn-cs"/>
            </a:rPr>
            <a:t>NB:  values</a:t>
          </a:r>
          <a:r>
            <a:rPr lang="en-GB" sz="1100" b="0" i="0" u="none" strike="noStrike" baseline="0">
              <a:solidFill>
                <a:schemeClr val="dk1"/>
              </a:solidFill>
              <a:effectLst/>
              <a:latin typeface="+mn-lt"/>
              <a:ea typeface="+mn-ea"/>
              <a:cs typeface="+mn-cs"/>
            </a:rPr>
            <a:t> should be inputted into all of the light yellow cells </a:t>
          </a:r>
          <a:endParaRPr lang="en-GB" sz="1100" b="0" i="0" u="none" strike="noStrike">
            <a:solidFill>
              <a:schemeClr val="dk1"/>
            </a:solidFill>
            <a:effectLst/>
            <a:latin typeface="+mn-lt"/>
            <a:ea typeface="+mn-ea"/>
            <a:cs typeface="+mn-cs"/>
          </a:endParaRPr>
        </a:p>
        <a:p>
          <a:pPr algn="l"/>
          <a:endParaRPr lang="en-GB" sz="1100" b="0" i="0" u="none" strike="noStrike">
            <a:solidFill>
              <a:schemeClr val="dk1"/>
            </a:solidFill>
            <a:effectLst/>
            <a:latin typeface="+mn-lt"/>
            <a:ea typeface="+mn-ea"/>
            <a:cs typeface="+mn-cs"/>
          </a:endParaRPr>
        </a:p>
        <a:p>
          <a:pPr algn="l"/>
          <a:r>
            <a:rPr lang="en-GB" sz="1100" b="1" i="0" u="none" strike="noStrike">
              <a:solidFill>
                <a:schemeClr val="dk1"/>
              </a:solidFill>
              <a:effectLst/>
              <a:latin typeface="+mn-lt"/>
              <a:ea typeface="+mn-ea"/>
              <a:cs typeface="+mn-cs"/>
            </a:rPr>
            <a:t>STEPS</a:t>
          </a:r>
        </a:p>
        <a:p>
          <a:pPr algn="l"/>
          <a:r>
            <a:rPr lang="en-GB" sz="1200" b="0" i="0" u="none" strike="noStrike">
              <a:solidFill>
                <a:schemeClr val="dk1"/>
              </a:solidFill>
              <a:effectLst/>
              <a:latin typeface="+mn-lt"/>
              <a:ea typeface="+mn-ea"/>
              <a:cs typeface="+mn-cs"/>
            </a:rPr>
            <a:t>1. Enter the return periods in column 1;</a:t>
          </a:r>
          <a:r>
            <a:rPr lang="en-GB" sz="1200"/>
            <a:t> </a:t>
          </a:r>
        </a:p>
        <a:p>
          <a:pPr algn="l"/>
          <a:r>
            <a:rPr lang="en-GB" sz="1200" b="0" i="0" u="none" strike="noStrike">
              <a:solidFill>
                <a:schemeClr val="dk1"/>
              </a:solidFill>
              <a:effectLst/>
              <a:latin typeface="+mn-lt"/>
              <a:ea typeface="+mn-ea"/>
              <a:cs typeface="+mn-cs"/>
            </a:rPr>
            <a:t>2. Enter the number of residential properties at risk for each RP in column 2</a:t>
          </a:r>
        </a:p>
        <a:p>
          <a:pPr algn="l"/>
          <a:r>
            <a:rPr lang="en-GB" sz="1200" b="0" i="0" u="none" strike="noStrike">
              <a:solidFill>
                <a:schemeClr val="dk1"/>
              </a:solidFill>
              <a:effectLst/>
              <a:latin typeface="+mn-lt"/>
              <a:ea typeface="+mn-ea"/>
              <a:cs typeface="+mn-cs"/>
            </a:rPr>
            <a:t>3.</a:t>
          </a:r>
          <a:r>
            <a:rPr lang="en-GB" sz="1200" b="0" i="0" u="none" strike="noStrike" baseline="0">
              <a:solidFill>
                <a:schemeClr val="dk1"/>
              </a:solidFill>
              <a:effectLst/>
              <a:latin typeface="+mn-lt"/>
              <a:ea typeface="+mn-ea"/>
              <a:cs typeface="+mn-cs"/>
            </a:rPr>
            <a:t> Enter the mean depth of flooding for each RP in column 3</a:t>
          </a:r>
        </a:p>
        <a:p>
          <a:pPr algn="l"/>
          <a:r>
            <a:rPr lang="en-GB" sz="1200" b="0" i="0" u="none" strike="noStrike" baseline="0">
              <a:solidFill>
                <a:schemeClr val="dk1"/>
              </a:solidFill>
              <a:effectLst/>
              <a:latin typeface="+mn-lt"/>
              <a:ea typeface="+mn-ea"/>
              <a:cs typeface="+mn-cs"/>
            </a:rPr>
            <a:t>4. Enter the number of non-residential properties at risk for each RP in column 6</a:t>
          </a:r>
        </a:p>
        <a:p>
          <a:pPr algn="l"/>
          <a:r>
            <a:rPr lang="en-GB" sz="1200" b="0" i="0" u="none" strike="noStrike" baseline="0">
              <a:solidFill>
                <a:schemeClr val="dk1"/>
              </a:solidFill>
              <a:effectLst/>
              <a:latin typeface="+mn-lt"/>
              <a:ea typeface="+mn-ea"/>
              <a:cs typeface="+mn-cs"/>
            </a:rPr>
            <a:t>5. Enter the mean depth of flooding for each NRP at risk for each RP in column 7</a:t>
          </a:r>
        </a:p>
        <a:p>
          <a:pPr algn="l"/>
          <a:r>
            <a:rPr lang="en-GB" sz="1200" b="0" i="0" u="none" strike="noStrike" baseline="0">
              <a:solidFill>
                <a:schemeClr val="dk1"/>
              </a:solidFill>
              <a:effectLst/>
              <a:latin typeface="+mn-lt"/>
              <a:ea typeface="+mn-ea"/>
              <a:cs typeface="+mn-cs"/>
            </a:rPr>
            <a:t>6. Enter the average floor area in m</a:t>
          </a:r>
          <a:r>
            <a:rPr lang="en-GB" sz="1200" b="0" i="0" u="none" strike="noStrike" baseline="30000">
              <a:solidFill>
                <a:schemeClr val="dk1"/>
              </a:solidFill>
              <a:effectLst/>
              <a:latin typeface="+mn-lt"/>
              <a:ea typeface="+mn-ea"/>
              <a:cs typeface="+mn-cs"/>
            </a:rPr>
            <a:t>2</a:t>
          </a:r>
          <a:r>
            <a:rPr lang="en-GB" sz="1200" b="0" i="0" u="none" strike="noStrike" baseline="0">
              <a:solidFill>
                <a:schemeClr val="dk1"/>
              </a:solidFill>
              <a:effectLst/>
              <a:latin typeface="+mn-lt"/>
              <a:ea typeface="+mn-ea"/>
              <a:cs typeface="+mn-cs"/>
            </a:rPr>
            <a:t> for those NRP at risk.</a:t>
          </a:r>
          <a:endParaRPr lang="en-GB" sz="1200" b="1" i="0" u="none" strike="noStrike">
            <a:solidFill>
              <a:schemeClr val="dk1"/>
            </a:solidFill>
            <a:effectLst/>
            <a:latin typeface="+mn-lt"/>
            <a:ea typeface="+mn-ea"/>
            <a:cs typeface="+mn-cs"/>
          </a:endParaRPr>
        </a:p>
      </xdr:txBody>
    </xdr:sp>
    <xdr:clientData/>
  </xdr:twoCellAnchor>
  <xdr:twoCellAnchor>
    <xdr:from>
      <xdr:col>4</xdr:col>
      <xdr:colOff>896939</xdr:colOff>
      <xdr:row>24</xdr:row>
      <xdr:rowOff>92603</xdr:rowOff>
    </xdr:from>
    <xdr:to>
      <xdr:col>5</xdr:col>
      <xdr:colOff>272521</xdr:colOff>
      <xdr:row>25</xdr:row>
      <xdr:rowOff>177270</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4028283" y="4438384"/>
          <a:ext cx="625738" cy="275167"/>
        </a:xfrm>
        <a:prstGeom prst="rect">
          <a:avLst/>
        </a:prstGeom>
        <a:solidFill>
          <a:srgbClr val="FFFFCC"/>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GB" sz="1200" b="1"/>
            <a:t>Inputs</a:t>
          </a:r>
        </a:p>
      </xdr:txBody>
    </xdr:sp>
    <xdr:clientData/>
  </xdr:twoCellAnchor>
  <xdr:twoCellAnchor editAs="oneCell">
    <xdr:from>
      <xdr:col>12</xdr:col>
      <xdr:colOff>171616</xdr:colOff>
      <xdr:row>34</xdr:row>
      <xdr:rowOff>99220</xdr:rowOff>
    </xdr:from>
    <xdr:to>
      <xdr:col>16</xdr:col>
      <xdr:colOff>550826</xdr:colOff>
      <xdr:row>42</xdr:row>
      <xdr:rowOff>132691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a:stretch>
          <a:fillRect/>
        </a:stretch>
      </xdr:blipFill>
      <xdr:spPr>
        <a:xfrm>
          <a:off x="12379491" y="6353970"/>
          <a:ext cx="2823960" cy="24623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366712</xdr:colOff>
      <xdr:row>34</xdr:row>
      <xdr:rowOff>95251</xdr:rowOff>
    </xdr:from>
    <xdr:to>
      <xdr:col>12</xdr:col>
      <xdr:colOff>667247</xdr:colOff>
      <xdr:row>37</xdr:row>
      <xdr:rowOff>19051</xdr:rowOff>
    </xdr:to>
    <xdr:sp macro="" textlink="">
      <xdr:nvSpPr>
        <xdr:cNvPr id="9" name="Rectangular Callout 8">
          <a:extLst>
            <a:ext uri="{FF2B5EF4-FFF2-40B4-BE49-F238E27FC236}">
              <a16:creationId xmlns:a16="http://schemas.microsoft.com/office/drawing/2014/main" id="{00000000-0008-0000-0200-000009000000}"/>
            </a:ext>
          </a:extLst>
        </xdr:cNvPr>
        <xdr:cNvSpPr/>
      </xdr:nvSpPr>
      <xdr:spPr>
        <a:xfrm>
          <a:off x="1604962" y="7750970"/>
          <a:ext cx="11682910" cy="495300"/>
        </a:xfrm>
        <a:prstGeom prst="wedgeRectCallout">
          <a:avLst>
            <a:gd name="adj1" fmla="val -28657"/>
            <a:gd name="adj2" fmla="val -135256"/>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The depth-damage</a:t>
          </a:r>
          <a:r>
            <a:rPr lang="en-GB" sz="1100" baseline="0">
              <a:solidFill>
                <a:sysClr val="windowText" lastClr="000000"/>
              </a:solidFill>
            </a:rPr>
            <a:t> </a:t>
          </a:r>
          <a:r>
            <a:rPr lang="en-GB" sz="1100">
              <a:solidFill>
                <a:sysClr val="windowText" lastClr="000000"/>
              </a:solidFill>
            </a:rPr>
            <a:t>data is put into this table</a:t>
          </a:r>
          <a:r>
            <a:rPr lang="en-GB" sz="1100" baseline="0">
              <a:solidFill>
                <a:sysClr val="windowText" lastClr="000000"/>
              </a:solidFill>
            </a:rPr>
            <a:t> which records the numbers of properties affected by each return period flood, and the mean depths of that flooding. The use of mean depth simplifies the table.</a:t>
          </a:r>
          <a:endParaRPr lang="en-GB" sz="1100" b="0">
            <a:solidFill>
              <a:sysClr val="windowText" lastClr="000000"/>
            </a:solidFill>
          </a:endParaRPr>
        </a:p>
      </xdr:txBody>
    </xdr:sp>
    <xdr:clientData/>
  </xdr:twoCellAnchor>
  <xdr:twoCellAnchor>
    <xdr:from>
      <xdr:col>1</xdr:col>
      <xdr:colOff>28575</xdr:colOff>
      <xdr:row>1</xdr:row>
      <xdr:rowOff>9524</xdr:rowOff>
    </xdr:from>
    <xdr:to>
      <xdr:col>1</xdr:col>
      <xdr:colOff>723900</xdr:colOff>
      <xdr:row>5</xdr:row>
      <xdr:rowOff>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61925" y="133349"/>
          <a:ext cx="695325" cy="742951"/>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6000"/>
            <a:t>2</a:t>
          </a:r>
        </a:p>
      </xdr:txBody>
    </xdr:sp>
    <xdr:clientData/>
  </xdr:twoCellAnchor>
  <xdr:twoCellAnchor>
    <xdr:from>
      <xdr:col>1</xdr:col>
      <xdr:colOff>9526</xdr:colOff>
      <xdr:row>6</xdr:row>
      <xdr:rowOff>9525</xdr:rowOff>
    </xdr:from>
    <xdr:to>
      <xdr:col>8</xdr:col>
      <xdr:colOff>704850</xdr:colOff>
      <xdr:row>8</xdr:row>
      <xdr:rowOff>116572</xdr:rowOff>
    </xdr:to>
    <xdr:sp macro="" textlink="">
      <xdr:nvSpPr>
        <xdr:cNvPr id="12" name="Rectangular Callout 11">
          <a:hlinkClick xmlns:r="http://schemas.openxmlformats.org/officeDocument/2006/relationships" r:id="rId1"/>
          <a:extLst>
            <a:ext uri="{FF2B5EF4-FFF2-40B4-BE49-F238E27FC236}">
              <a16:creationId xmlns:a16="http://schemas.microsoft.com/office/drawing/2014/main" id="{00000000-0008-0000-0200-00000C000000}"/>
            </a:ext>
          </a:extLst>
        </xdr:cNvPr>
        <xdr:cNvSpPr/>
      </xdr:nvSpPr>
      <xdr:spPr>
        <a:xfrm>
          <a:off x="142876" y="1076325"/>
          <a:ext cx="5286374" cy="488047"/>
        </a:xfrm>
        <a:prstGeom prst="wedgeRectCallout">
          <a:avLst>
            <a:gd name="adj1" fmla="val -19444"/>
            <a:gd name="adj2" fmla="val 88623"/>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i="0">
              <a:solidFill>
                <a:sysClr val="windowText" lastClr="000000"/>
              </a:solidFill>
            </a:rPr>
            <a:t>Depth-damage</a:t>
          </a:r>
          <a:r>
            <a:rPr lang="en-GB" sz="1100" b="0" i="0" baseline="0">
              <a:solidFill>
                <a:sysClr val="windowText" lastClr="000000"/>
              </a:solidFill>
            </a:rPr>
            <a:t> </a:t>
          </a:r>
          <a:r>
            <a:rPr lang="en-GB" sz="1100" b="0" i="0">
              <a:solidFill>
                <a:sysClr val="windowText" lastClr="000000"/>
              </a:solidFill>
            </a:rPr>
            <a:t>data will be needed on the depths of flooding at each property. This can be obtained from the </a:t>
          </a:r>
          <a:r>
            <a:rPr lang="en-GB" sz="1100" b="1" i="0">
              <a:solidFill>
                <a:srgbClr val="C00000"/>
              </a:solidFill>
            </a:rPr>
            <a:t>MCM-Online</a:t>
          </a:r>
          <a:r>
            <a:rPr lang="en-GB" sz="1100" b="0" i="0">
              <a:solidFill>
                <a:srgbClr val="FF0000"/>
              </a:solidFill>
            </a:rPr>
            <a:t>. </a:t>
          </a:r>
          <a:r>
            <a:rPr lang="en-GB" sz="1100" b="0" i="0">
              <a:solidFill>
                <a:sysClr val="windowText" lastClr="000000"/>
              </a:solidFill>
            </a:rPr>
            <a:t>Sector average</a:t>
          </a:r>
          <a:r>
            <a:rPr lang="en-GB" sz="1100" b="0" i="0" baseline="0">
              <a:solidFill>
                <a:sysClr val="windowText" lastClr="000000"/>
              </a:solidFill>
            </a:rPr>
            <a:t> examples</a:t>
          </a:r>
          <a:r>
            <a:rPr lang="en-GB" sz="1100" b="0" i="0">
              <a:solidFill>
                <a:sysClr val="windowText" lastClr="000000"/>
              </a:solidFill>
            </a:rPr>
            <a:t> are available below.</a:t>
          </a:r>
        </a:p>
      </xdr:txBody>
    </xdr:sp>
    <xdr:clientData/>
  </xdr:twoCellAnchor>
  <xdr:twoCellAnchor>
    <xdr:from>
      <xdr:col>16</xdr:col>
      <xdr:colOff>152400</xdr:colOff>
      <xdr:row>0</xdr:row>
      <xdr:rowOff>38100</xdr:rowOff>
    </xdr:from>
    <xdr:to>
      <xdr:col>18</xdr:col>
      <xdr:colOff>109537</xdr:colOff>
      <xdr:row>5</xdr:row>
      <xdr:rowOff>109535</xdr:rowOff>
    </xdr:to>
    <xdr:sp macro="" textlink="">
      <xdr:nvSpPr>
        <xdr:cNvPr id="13" name="Down Arrow 12">
          <a:hlinkClick xmlns:r="http://schemas.openxmlformats.org/officeDocument/2006/relationships" r:id="rId2"/>
          <a:extLst>
            <a:ext uri="{FF2B5EF4-FFF2-40B4-BE49-F238E27FC236}">
              <a16:creationId xmlns:a16="http://schemas.microsoft.com/office/drawing/2014/main" id="{00000000-0008-0000-0200-00000D000000}"/>
            </a:ext>
          </a:extLst>
        </xdr:cNvPr>
        <xdr:cNvSpPr/>
      </xdr:nvSpPr>
      <xdr:spPr>
        <a:xfrm rot="16200000">
          <a:off x="10267951" y="-76201"/>
          <a:ext cx="947735" cy="1176337"/>
        </a:xfrm>
        <a:prstGeom prst="downArrow">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0"/>
        <a:lstStyle/>
        <a:p>
          <a:pPr algn="r"/>
          <a:r>
            <a:rPr lang="en-GB" sz="2000">
              <a:solidFill>
                <a:sysClr val="windowText" lastClr="000000"/>
              </a:solidFill>
            </a:rPr>
            <a:t>STEP 3</a:t>
          </a:r>
        </a:p>
      </xdr:txBody>
    </xdr:sp>
    <xdr:clientData/>
  </xdr:twoCellAnchor>
  <xdr:twoCellAnchor editAs="oneCell">
    <xdr:from>
      <xdr:col>12</xdr:col>
      <xdr:colOff>607219</xdr:colOff>
      <xdr:row>17</xdr:row>
      <xdr:rowOff>174643</xdr:rowOff>
    </xdr:from>
    <xdr:to>
      <xdr:col>16</xdr:col>
      <xdr:colOff>621044</xdr:colOff>
      <xdr:row>24</xdr:row>
      <xdr:rowOff>168669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13227844" y="3401237"/>
          <a:ext cx="2918950" cy="250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6</xdr:row>
      <xdr:rowOff>131234</xdr:rowOff>
    </xdr:from>
    <xdr:to>
      <xdr:col>16</xdr:col>
      <xdr:colOff>447675</xdr:colOff>
      <xdr:row>13</xdr:row>
      <xdr:rowOff>560919</xdr:rowOff>
    </xdr:to>
    <xdr:sp macro="" textlink="">
      <xdr:nvSpPr>
        <xdr:cNvPr id="2" name="Rectangular Callout 1">
          <a:extLst>
            <a:ext uri="{FF2B5EF4-FFF2-40B4-BE49-F238E27FC236}">
              <a16:creationId xmlns:a16="http://schemas.microsoft.com/office/drawing/2014/main" id="{00000000-0008-0000-0300-000002000000}"/>
            </a:ext>
          </a:extLst>
        </xdr:cNvPr>
        <xdr:cNvSpPr/>
      </xdr:nvSpPr>
      <xdr:spPr>
        <a:xfrm>
          <a:off x="9575800" y="1200151"/>
          <a:ext cx="1656292" cy="2165351"/>
        </a:xfrm>
        <a:prstGeom prst="wedgeRectCallout">
          <a:avLst>
            <a:gd name="adj1" fmla="val -86716"/>
            <a:gd name="adj2" fmla="val 19813"/>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Discounting is necessary to calculate the Present value of these damages (PVd). </a:t>
          </a:r>
          <a:r>
            <a:rPr lang="en-GB" sz="1100">
              <a:solidFill>
                <a:sysClr val="windowText" lastClr="000000"/>
              </a:solidFill>
              <a:effectLst/>
              <a:latin typeface="+mn-lt"/>
              <a:ea typeface="+mn-ea"/>
              <a:cs typeface="+mn-cs"/>
            </a:rPr>
            <a:t>With the 3.5% Test Discount Rate reducing to 3% at year 30 and to 2.5% at year 75, and given the 100-year time horizon, the relevant discount factor is for example 29.9 (UK HM Treasury 2010)</a:t>
          </a:r>
          <a:endParaRPr lang="en-GB" sz="1100">
            <a:solidFill>
              <a:sysClr val="windowText" lastClr="000000"/>
            </a:solidFill>
          </a:endParaRPr>
        </a:p>
      </xdr:txBody>
    </xdr:sp>
    <xdr:clientData/>
  </xdr:twoCellAnchor>
  <xdr:twoCellAnchor>
    <xdr:from>
      <xdr:col>2</xdr:col>
      <xdr:colOff>9525</xdr:colOff>
      <xdr:row>6</xdr:row>
      <xdr:rowOff>180976</xdr:rowOff>
    </xdr:from>
    <xdr:to>
      <xdr:col>10</xdr:col>
      <xdr:colOff>257175</xdr:colOff>
      <xdr:row>9</xdr:row>
      <xdr:rowOff>47625</xdr:rowOff>
    </xdr:to>
    <xdr:sp macro="" textlink="">
      <xdr:nvSpPr>
        <xdr:cNvPr id="3" name="Rectangular Callout 2">
          <a:extLst>
            <a:ext uri="{FF2B5EF4-FFF2-40B4-BE49-F238E27FC236}">
              <a16:creationId xmlns:a16="http://schemas.microsoft.com/office/drawing/2014/main" id="{00000000-0008-0000-0300-000003000000}"/>
            </a:ext>
          </a:extLst>
        </xdr:cNvPr>
        <xdr:cNvSpPr/>
      </xdr:nvSpPr>
      <xdr:spPr>
        <a:xfrm>
          <a:off x="1057275" y="1257301"/>
          <a:ext cx="5505450" cy="438149"/>
        </a:xfrm>
        <a:prstGeom prst="wedgeRectCallout">
          <a:avLst>
            <a:gd name="adj1" fmla="val 39019"/>
            <a:gd name="adj2" fmla="val 99376"/>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This table</a:t>
          </a:r>
          <a:r>
            <a:rPr lang="en-GB" sz="1100" baseline="0">
              <a:solidFill>
                <a:sysClr val="windowText" lastClr="000000"/>
              </a:solidFill>
            </a:rPr>
            <a:t> in effect integrates the area under the curve of event damages/losses and their probability to calculate Annual Average Damages (AAD) up to each return period</a:t>
          </a:r>
          <a:endParaRPr lang="en-GB" sz="1100">
            <a:solidFill>
              <a:sysClr val="windowText" lastClr="000000"/>
            </a:solidFill>
          </a:endParaRPr>
        </a:p>
      </xdr:txBody>
    </xdr:sp>
    <xdr:clientData/>
  </xdr:twoCellAnchor>
  <xdr:twoCellAnchor>
    <xdr:from>
      <xdr:col>2</xdr:col>
      <xdr:colOff>171449</xdr:colOff>
      <xdr:row>1</xdr:row>
      <xdr:rowOff>9525</xdr:rowOff>
    </xdr:from>
    <xdr:to>
      <xdr:col>3</xdr:col>
      <xdr:colOff>390525</xdr:colOff>
      <xdr:row>6</xdr:row>
      <xdr:rowOff>0</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257174" y="123825"/>
          <a:ext cx="828676" cy="942975"/>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6000"/>
            <a:t>3</a:t>
          </a:r>
        </a:p>
      </xdr:txBody>
    </xdr:sp>
    <xdr:clientData/>
  </xdr:twoCellAnchor>
  <xdr:twoCellAnchor>
    <xdr:from>
      <xdr:col>19</xdr:col>
      <xdr:colOff>66675</xdr:colOff>
      <xdr:row>0</xdr:row>
      <xdr:rowOff>104775</xdr:rowOff>
    </xdr:from>
    <xdr:to>
      <xdr:col>21</xdr:col>
      <xdr:colOff>23812</xdr:colOff>
      <xdr:row>5</xdr:row>
      <xdr:rowOff>176210</xdr:rowOff>
    </xdr:to>
    <xdr:sp macro="" textlink="">
      <xdr:nvSpPr>
        <xdr:cNvPr id="8" name="Down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rot="16200000">
          <a:off x="10915651" y="-9526"/>
          <a:ext cx="947735" cy="1176337"/>
        </a:xfrm>
        <a:prstGeom prst="downArrow">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0"/>
        <a:lstStyle/>
        <a:p>
          <a:pPr algn="r"/>
          <a:r>
            <a:rPr lang="en-GB" sz="2000">
              <a:solidFill>
                <a:sysClr val="windowText" lastClr="000000"/>
              </a:solidFill>
            </a:rPr>
            <a:t>STEP 4</a:t>
          </a:r>
        </a:p>
      </xdr:txBody>
    </xdr:sp>
    <xdr:clientData/>
  </xdr:twoCellAnchor>
  <xdr:twoCellAnchor editAs="oneCell">
    <xdr:from>
      <xdr:col>10</xdr:col>
      <xdr:colOff>384174</xdr:colOff>
      <xdr:row>15</xdr:row>
      <xdr:rowOff>74085</xdr:rowOff>
    </xdr:from>
    <xdr:to>
      <xdr:col>14</xdr:col>
      <xdr:colOff>468016</xdr:colOff>
      <xdr:row>26</xdr:row>
      <xdr:rowOff>158751</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7470774" y="3636435"/>
          <a:ext cx="2522242" cy="21801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xdr:col>
      <xdr:colOff>130687</xdr:colOff>
      <xdr:row>9</xdr:row>
      <xdr:rowOff>32364</xdr:rowOff>
    </xdr:to>
    <xdr:sp macro="" textlink="">
      <xdr:nvSpPr>
        <xdr:cNvPr id="5" name="AutoShape 2" descr="http://maps01.jbahosting.com/wmts?LAYERS=nafra_extent&amp;TRANSPARENT=TRUE&amp;SERVICE=WMS&amp;VERSION=1.1.1&amp;REQUEST=GetMap&amp;STYLES=&amp;FORMAT=image%2Fpng&amp;SRS=EPSG%3A27700&amp;BBOX=447094.3169,208776.2723,451063.0919,211422.1223&amp;WIDTH=1125&amp;HEIGHT=75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115050" y="3467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52917</xdr:colOff>
      <xdr:row>7</xdr:row>
      <xdr:rowOff>114949</xdr:rowOff>
    </xdr:from>
    <xdr:to>
      <xdr:col>6</xdr:col>
      <xdr:colOff>246488</xdr:colOff>
      <xdr:row>11</xdr:row>
      <xdr:rowOff>122904</xdr:rowOff>
    </xdr:to>
    <xdr:sp macro="" textlink="">
      <xdr:nvSpPr>
        <xdr:cNvPr id="24" name="Rectangular Callout 23">
          <a:extLst>
            <a:ext uri="{FF2B5EF4-FFF2-40B4-BE49-F238E27FC236}">
              <a16:creationId xmlns:a16="http://schemas.microsoft.com/office/drawing/2014/main" id="{00000000-0008-0000-0400-000018000000}"/>
            </a:ext>
          </a:extLst>
        </xdr:cNvPr>
        <xdr:cNvSpPr/>
      </xdr:nvSpPr>
      <xdr:spPr>
        <a:xfrm>
          <a:off x="222250" y="1469616"/>
          <a:ext cx="5030155" cy="664121"/>
        </a:xfrm>
        <a:prstGeom prst="wedgeRectCallout">
          <a:avLst>
            <a:gd name="adj1" fmla="val -4472"/>
            <a:gd name="adj2" fmla="val 118129"/>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The</a:t>
          </a:r>
          <a:r>
            <a:rPr lang="en-GB" sz="1100" baseline="0">
              <a:solidFill>
                <a:sysClr val="windowText" lastClr="000000"/>
              </a:solidFill>
            </a:rPr>
            <a:t> costs of interventions/schemes are not derived in this calculation; they come from elsewhere (i.e. engineers' and others' estimates)</a:t>
          </a:r>
          <a:endParaRPr lang="en-GB" sz="1100">
            <a:solidFill>
              <a:sysClr val="windowText" lastClr="000000"/>
            </a:solidFill>
          </a:endParaRPr>
        </a:p>
      </xdr:txBody>
    </xdr:sp>
    <xdr:clientData/>
  </xdr:twoCellAnchor>
  <xdr:twoCellAnchor>
    <xdr:from>
      <xdr:col>1</xdr:col>
      <xdr:colOff>1</xdr:colOff>
      <xdr:row>24</xdr:row>
      <xdr:rowOff>133145</xdr:rowOff>
    </xdr:from>
    <xdr:to>
      <xdr:col>7</xdr:col>
      <xdr:colOff>0</xdr:colOff>
      <xdr:row>37</xdr:row>
      <xdr:rowOff>158750</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1</xdr:col>
      <xdr:colOff>695531</xdr:colOff>
      <xdr:row>7</xdr:row>
      <xdr:rowOff>10242</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542823" y="204839"/>
          <a:ext cx="828676" cy="1188064"/>
        </a:xfrm>
        <a:prstGeom prst="rect">
          <a:avLst/>
        </a:prstGeom>
        <a:solidFill>
          <a:schemeClr val="accent1">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6000"/>
            <a:t>4</a:t>
          </a:r>
        </a:p>
      </xdr:txBody>
    </xdr:sp>
    <xdr:clientData/>
  </xdr:twoCellAnchor>
  <xdr:twoCellAnchor>
    <xdr:from>
      <xdr:col>15</xdr:col>
      <xdr:colOff>184349</xdr:colOff>
      <xdr:row>1</xdr:row>
      <xdr:rowOff>112661</xdr:rowOff>
    </xdr:from>
    <xdr:to>
      <xdr:col>17</xdr:col>
      <xdr:colOff>143385</xdr:colOff>
      <xdr:row>9</xdr:row>
      <xdr:rowOff>0</xdr:rowOff>
    </xdr:to>
    <xdr:sp macro="" textlink="">
      <xdr:nvSpPr>
        <xdr:cNvPr id="12" name="Down Arrow 11">
          <a:hlinkClick xmlns:r="http://schemas.openxmlformats.org/officeDocument/2006/relationships" r:id="rId2"/>
          <a:extLst>
            <a:ext uri="{FF2B5EF4-FFF2-40B4-BE49-F238E27FC236}">
              <a16:creationId xmlns:a16="http://schemas.microsoft.com/office/drawing/2014/main" id="{00000000-0008-0000-0400-00000C000000}"/>
            </a:ext>
          </a:extLst>
        </xdr:cNvPr>
        <xdr:cNvSpPr/>
      </xdr:nvSpPr>
      <xdr:spPr>
        <a:xfrm rot="5400000">
          <a:off x="11597281" y="150895"/>
          <a:ext cx="861006" cy="1186703"/>
        </a:xfrm>
        <a:prstGeom prst="downArrow">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nchorCtr="0"/>
        <a:lstStyle/>
        <a:p>
          <a:pPr algn="ctr"/>
          <a:r>
            <a:rPr lang="en-GB" sz="2000">
              <a:solidFill>
                <a:sysClr val="windowText" lastClr="000000"/>
              </a:solidFill>
            </a:rPr>
            <a:t>INDEX</a:t>
          </a:r>
        </a:p>
      </xdr:txBody>
    </xdr:sp>
    <xdr:clientData/>
  </xdr:twoCellAnchor>
  <xdr:twoCellAnchor>
    <xdr:from>
      <xdr:col>7</xdr:col>
      <xdr:colOff>213715</xdr:colOff>
      <xdr:row>26</xdr:row>
      <xdr:rowOff>101736</xdr:rowOff>
    </xdr:from>
    <xdr:to>
      <xdr:col>11</xdr:col>
      <xdr:colOff>172748</xdr:colOff>
      <xdr:row>31</xdr:row>
      <xdr:rowOff>122562</xdr:rowOff>
    </xdr:to>
    <xdr:sp macro="" textlink="">
      <xdr:nvSpPr>
        <xdr:cNvPr id="13" name="Rounded Rectangular Callout 12">
          <a:extLst>
            <a:ext uri="{FF2B5EF4-FFF2-40B4-BE49-F238E27FC236}">
              <a16:creationId xmlns:a16="http://schemas.microsoft.com/office/drawing/2014/main" id="{00000000-0008-0000-0400-00000D000000}"/>
            </a:ext>
          </a:extLst>
        </xdr:cNvPr>
        <xdr:cNvSpPr/>
      </xdr:nvSpPr>
      <xdr:spPr>
        <a:xfrm>
          <a:off x="6320298" y="5192319"/>
          <a:ext cx="2414367" cy="973326"/>
        </a:xfrm>
        <a:prstGeom prst="wedgeRoundRectCallout">
          <a:avLst>
            <a:gd name="adj1" fmla="val -54929"/>
            <a:gd name="adj2" fmla="val 66475"/>
            <a:gd name="adj3" fmla="val 16667"/>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l"/>
          <a:r>
            <a:rPr lang="en-GB" sz="1100">
              <a:solidFill>
                <a:sysClr val="windowText" lastClr="000000"/>
              </a:solidFill>
            </a:rPr>
            <a:t>Plotting</a:t>
          </a:r>
          <a:r>
            <a:rPr lang="en-GB" sz="1100" baseline="0">
              <a:solidFill>
                <a:sysClr val="windowText" lastClr="000000"/>
              </a:solidFill>
            </a:rPr>
            <a:t> discounted benefits against cost can be useful. Schemes to the left of the diagonal are the ones where benefits exceed costs.</a:t>
          </a:r>
          <a:r>
            <a:rPr lang="en-GB" sz="1100">
              <a:solidFill>
                <a:sysClr val="windowText" lastClr="000000"/>
              </a:solidFill>
            </a:rPr>
            <a:t> </a:t>
          </a:r>
        </a:p>
      </xdr:txBody>
    </xdr:sp>
    <xdr:clientData/>
  </xdr:twoCellAnchor>
  <xdr:twoCellAnchor>
    <xdr:from>
      <xdr:col>7</xdr:col>
      <xdr:colOff>201083</xdr:colOff>
      <xdr:row>7</xdr:row>
      <xdr:rowOff>95250</xdr:rowOff>
    </xdr:from>
    <xdr:to>
      <xdr:col>14</xdr:col>
      <xdr:colOff>465667</xdr:colOff>
      <xdr:row>12</xdr:row>
      <xdr:rowOff>402167</xdr:rowOff>
    </xdr:to>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6307666" y="1449917"/>
          <a:ext cx="4794251" cy="1153583"/>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GB" sz="1100" b="0" i="0" u="none" strike="noStrike">
              <a:solidFill>
                <a:schemeClr val="dk1"/>
              </a:solidFill>
              <a:effectLst/>
              <a:latin typeface="+mn-lt"/>
              <a:ea typeface="+mn-ea"/>
              <a:cs typeface="+mn-cs"/>
            </a:rPr>
            <a:t>NB:  values</a:t>
          </a:r>
          <a:r>
            <a:rPr lang="en-GB" sz="1100" b="0" i="0" u="none" strike="noStrike" baseline="0">
              <a:solidFill>
                <a:schemeClr val="dk1"/>
              </a:solidFill>
              <a:effectLst/>
              <a:latin typeface="+mn-lt"/>
              <a:ea typeface="+mn-ea"/>
              <a:cs typeface="+mn-cs"/>
            </a:rPr>
            <a:t> should be inputted into the light yellow cells </a:t>
          </a:r>
          <a:endParaRPr lang="en-GB" sz="1100" b="0" i="0" u="none" strike="noStrike">
            <a:solidFill>
              <a:schemeClr val="dk1"/>
            </a:solidFill>
            <a:effectLst/>
            <a:latin typeface="+mn-lt"/>
            <a:ea typeface="+mn-ea"/>
            <a:cs typeface="+mn-cs"/>
          </a:endParaRPr>
        </a:p>
        <a:p>
          <a:pPr algn="l"/>
          <a:endParaRPr lang="en-GB" sz="1100" b="0" i="0" u="none" strike="noStrike">
            <a:solidFill>
              <a:schemeClr val="dk1"/>
            </a:solidFill>
            <a:effectLst/>
            <a:latin typeface="+mn-lt"/>
            <a:ea typeface="+mn-ea"/>
            <a:cs typeface="+mn-cs"/>
          </a:endParaRPr>
        </a:p>
        <a:p>
          <a:pPr algn="l"/>
          <a:r>
            <a:rPr lang="en-GB" sz="1100" b="1" i="0" u="none" strike="noStrike">
              <a:solidFill>
                <a:schemeClr val="dk1"/>
              </a:solidFill>
              <a:effectLst/>
              <a:latin typeface="+mn-lt"/>
              <a:ea typeface="+mn-ea"/>
              <a:cs typeface="+mn-cs"/>
            </a:rPr>
            <a:t>STEPS</a:t>
          </a:r>
        </a:p>
        <a:p>
          <a:pPr algn="l"/>
          <a:r>
            <a:rPr lang="en-GB" sz="1200" b="0" i="0" u="none" strike="noStrike">
              <a:solidFill>
                <a:schemeClr val="dk1"/>
              </a:solidFill>
              <a:effectLst/>
              <a:latin typeface="+mn-lt"/>
              <a:ea typeface="+mn-ea"/>
              <a:cs typeface="+mn-cs"/>
            </a:rPr>
            <a:t>1. Enter the estimated cost of implementing</a:t>
          </a:r>
          <a:r>
            <a:rPr lang="en-GB" sz="1200" b="0" i="0" u="none" strike="noStrike" baseline="0">
              <a:solidFill>
                <a:schemeClr val="dk1"/>
              </a:solidFill>
              <a:effectLst/>
              <a:latin typeface="+mn-lt"/>
              <a:ea typeface="+mn-ea"/>
              <a:cs typeface="+mn-cs"/>
            </a:rPr>
            <a:t> a scheme to offer protection from damages for each return period into column 3 in Table 4</a:t>
          </a:r>
          <a:endParaRPr lang="en-GB" sz="1200" b="1" i="0" u="none" strike="noStrike">
            <a:solidFill>
              <a:schemeClr val="dk1"/>
            </a:solidFill>
            <a:effectLst/>
            <a:latin typeface="+mn-lt"/>
            <a:ea typeface="+mn-ea"/>
            <a:cs typeface="+mn-cs"/>
          </a:endParaRPr>
        </a:p>
      </xdr:txBody>
    </xdr:sp>
    <xdr:clientData/>
  </xdr:twoCellAnchor>
  <xdr:twoCellAnchor>
    <xdr:from>
      <xdr:col>12</xdr:col>
      <xdr:colOff>285749</xdr:colOff>
      <xdr:row>7</xdr:row>
      <xdr:rowOff>179917</xdr:rowOff>
    </xdr:from>
    <xdr:to>
      <xdr:col>13</xdr:col>
      <xdr:colOff>297653</xdr:colOff>
      <xdr:row>9</xdr:row>
      <xdr:rowOff>179918</xdr:rowOff>
    </xdr:to>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9694332" y="1534584"/>
          <a:ext cx="625738" cy="275167"/>
        </a:xfrm>
        <a:prstGeom prst="rect">
          <a:avLst/>
        </a:prstGeom>
        <a:solidFill>
          <a:srgbClr val="FFFFCC"/>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GB" sz="1200" b="1"/>
            <a:t>Inputs</a:t>
          </a:r>
        </a:p>
      </xdr:txBody>
    </xdr:sp>
    <xdr:clientData/>
  </xdr:twoCellAnchor>
  <xdr:twoCellAnchor editAs="oneCell">
    <xdr:from>
      <xdr:col>7</xdr:col>
      <xdr:colOff>275167</xdr:colOff>
      <xdr:row>13</xdr:row>
      <xdr:rowOff>116417</xdr:rowOff>
    </xdr:from>
    <xdr:to>
      <xdr:col>11</xdr:col>
      <xdr:colOff>738783</xdr:colOff>
      <xdr:row>24</xdr:row>
      <xdr:rowOff>177912</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3"/>
        <a:stretch>
          <a:fillRect/>
        </a:stretch>
      </xdr:blipFill>
      <xdr:spPr>
        <a:xfrm>
          <a:off x="6381750" y="2381250"/>
          <a:ext cx="2918950" cy="2506245"/>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0.17122</cdr:x>
      <cdr:y>0.13944</cdr:y>
    </cdr:from>
    <cdr:to>
      <cdr:x>0.75161</cdr:x>
      <cdr:y>0.76494</cdr:y>
    </cdr:to>
    <cdr:cxnSp macro="">
      <cdr:nvCxnSpPr>
        <cdr:cNvPr id="2" name="Straight Connector 1">
          <a:extLst xmlns:a="http://schemas.openxmlformats.org/drawingml/2006/main">
            <a:ext uri="{FF2B5EF4-FFF2-40B4-BE49-F238E27FC236}">
              <a16:creationId xmlns:a16="http://schemas.microsoft.com/office/drawing/2014/main" id="{EB6F23FB-DA51-4887-929C-058AAB16238E}"/>
            </a:ext>
          </a:extLst>
        </cdr:cNvPr>
        <cdr:cNvCxnSpPr/>
      </cdr:nvCxnSpPr>
      <cdr:spPr>
        <a:xfrm xmlns:a="http://schemas.openxmlformats.org/drawingml/2006/main" flipV="1">
          <a:off x="818945" y="358468"/>
          <a:ext cx="2775973" cy="1607985"/>
        </a:xfrm>
        <a:prstGeom xmlns:a="http://schemas.openxmlformats.org/drawingml/2006/main" prst="line">
          <a:avLst/>
        </a:prstGeom>
        <a:ln xmlns:a="http://schemas.openxmlformats.org/drawingml/2006/main" w="28575">
          <a:solidFill>
            <a:srgbClr val="FF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URRENT%20FILES\FloodCBA2\Copy%20of%20FloodCBA2_Greece_sept2017_Trial%20with%20chr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OOD-CBA2"/>
      <sheetName val="Front sheet"/>
      <sheetName val="Summary Cost_Benefit ratios"/>
      <sheetName val="#0 Current flood situation"/>
      <sheetName val="#1"/>
      <sheetName val="#2"/>
      <sheetName val="#3"/>
      <sheetName val="#4"/>
      <sheetName val="#5"/>
      <sheetName val="#6"/>
      <sheetName val="Local adjustment guidance"/>
      <sheetName val="Non-Residential Guidance"/>
      <sheetName val="Discount rate_Lookup"/>
      <sheetName val="Residential DD"/>
      <sheetName val="Non-residential DD"/>
      <sheetName val="Agricultural DD"/>
      <sheetName val="Reference lists"/>
    </sheetNames>
    <sheetDataSet>
      <sheetData sheetId="0"/>
      <sheetData sheetId="1">
        <row r="23">
          <cell r="C23"/>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5:N40"/>
  <sheetViews>
    <sheetView showGridLines="0" showRowColHeaders="0" zoomScale="80" zoomScaleNormal="80" workbookViewId="0">
      <selection activeCell="S26" sqref="S26"/>
    </sheetView>
  </sheetViews>
  <sheetFormatPr defaultRowHeight="14.5" x14ac:dyDescent="0.35"/>
  <cols>
    <col min="1" max="1" width="2.54296875" customWidth="1"/>
  </cols>
  <sheetData>
    <row r="15" spans="8:11" x14ac:dyDescent="0.35">
      <c r="K15" s="103" t="s">
        <v>23</v>
      </c>
    </row>
    <row r="16" spans="8:11" ht="18.5" x14ac:dyDescent="0.35">
      <c r="H16" s="24"/>
    </row>
    <row r="17" spans="11:14" x14ac:dyDescent="0.35">
      <c r="K17" t="s">
        <v>22</v>
      </c>
      <c r="N17" s="34"/>
    </row>
    <row r="19" spans="11:14" x14ac:dyDescent="0.35">
      <c r="K19" t="s">
        <v>24</v>
      </c>
      <c r="N19" s="37"/>
    </row>
    <row r="21" spans="11:14" x14ac:dyDescent="0.35">
      <c r="K21" t="s">
        <v>27</v>
      </c>
      <c r="N21" s="38"/>
    </row>
    <row r="23" spans="11:14" x14ac:dyDescent="0.35">
      <c r="K23" t="s">
        <v>48</v>
      </c>
      <c r="N23" s="35"/>
    </row>
    <row r="25" spans="11:14" x14ac:dyDescent="0.35">
      <c r="K25" t="s">
        <v>25</v>
      </c>
      <c r="N25" s="36"/>
    </row>
    <row r="40" spans="2:2" x14ac:dyDescent="0.35">
      <c r="B40" s="25" t="s">
        <v>59</v>
      </c>
    </row>
  </sheetData>
  <sheetProtection algorithmName="SHA-512" hashValue="5s0KRBwCMrt6HZTZ39CZIRkkqvUQraebcwyRfgtdUjTN+BRoFxkadmPP3ZHYPtOTan2yjoO89oeNdhgAGfkQJg==" saltValue="P+pmH8TikKun/XL7T9oO5g==" spinCount="100000" sheet="1" object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P53"/>
  <sheetViews>
    <sheetView showGridLines="0" tabSelected="1" topLeftCell="A20" zoomScale="80" zoomScaleNormal="80" workbookViewId="0">
      <selection activeCell="D39" sqref="D39"/>
    </sheetView>
  </sheetViews>
  <sheetFormatPr defaultRowHeight="14.5" x14ac:dyDescent="0.35"/>
  <cols>
    <col min="1" max="1" width="4.453125" customWidth="1"/>
    <col min="2" max="2" width="12.81640625" customWidth="1"/>
    <col min="3" max="3" width="17.7265625" customWidth="1"/>
    <col min="4" max="4" width="12" customWidth="1"/>
    <col min="5" max="5" width="18.7265625" customWidth="1"/>
    <col min="6" max="6" width="18.453125" customWidth="1"/>
    <col min="7" max="7" width="15.7265625" customWidth="1"/>
    <col min="8" max="8" width="13.453125" customWidth="1"/>
    <col min="9" max="9" width="12.1796875" customWidth="1"/>
    <col min="10" max="10" width="19.54296875" customWidth="1"/>
    <col min="11" max="11" width="19.1796875" customWidth="1"/>
    <col min="12" max="12" width="19.26953125" customWidth="1"/>
    <col min="13" max="13" width="9.54296875" customWidth="1"/>
  </cols>
  <sheetData>
    <row r="1" spans="3:16" ht="8.25" customHeight="1" thickBot="1" x14ac:dyDescent="0.4"/>
    <row r="2" spans="3:16" ht="15" customHeight="1" x14ac:dyDescent="0.35">
      <c r="C2" s="140" t="s">
        <v>18</v>
      </c>
      <c r="D2" s="141"/>
      <c r="E2" s="141"/>
      <c r="F2" s="141"/>
      <c r="G2" s="141"/>
      <c r="H2" s="141"/>
      <c r="I2" s="141"/>
      <c r="J2" s="141"/>
      <c r="K2" s="141"/>
      <c r="L2" s="141"/>
      <c r="M2" s="141"/>
      <c r="N2" s="141"/>
      <c r="O2" s="142"/>
      <c r="P2" s="9"/>
    </row>
    <row r="3" spans="3:16" x14ac:dyDescent="0.35">
      <c r="C3" s="143"/>
      <c r="D3" s="144"/>
      <c r="E3" s="144"/>
      <c r="F3" s="144"/>
      <c r="G3" s="144"/>
      <c r="H3" s="144"/>
      <c r="I3" s="144"/>
      <c r="J3" s="144"/>
      <c r="K3" s="144"/>
      <c r="L3" s="144"/>
      <c r="M3" s="144"/>
      <c r="N3" s="144"/>
      <c r="O3" s="145"/>
      <c r="P3" s="9"/>
    </row>
    <row r="4" spans="3:16" x14ac:dyDescent="0.35">
      <c r="C4" s="143"/>
      <c r="D4" s="144"/>
      <c r="E4" s="144"/>
      <c r="F4" s="144"/>
      <c r="G4" s="144"/>
      <c r="H4" s="144"/>
      <c r="I4" s="144"/>
      <c r="J4" s="144"/>
      <c r="K4" s="144"/>
      <c r="L4" s="144"/>
      <c r="M4" s="144"/>
      <c r="N4" s="144"/>
      <c r="O4" s="145"/>
      <c r="P4" s="9"/>
    </row>
    <row r="5" spans="3:16" x14ac:dyDescent="0.35">
      <c r="C5" s="143"/>
      <c r="D5" s="144"/>
      <c r="E5" s="144"/>
      <c r="F5" s="144"/>
      <c r="G5" s="144"/>
      <c r="H5" s="144"/>
      <c r="I5" s="144"/>
      <c r="J5" s="144"/>
      <c r="K5" s="144"/>
      <c r="L5" s="144"/>
      <c r="M5" s="144"/>
      <c r="N5" s="144"/>
      <c r="O5" s="145"/>
      <c r="P5" s="9"/>
    </row>
    <row r="6" spans="3:16" ht="3.75" customHeight="1" thickBot="1" x14ac:dyDescent="0.4">
      <c r="C6" s="146"/>
      <c r="D6" s="147"/>
      <c r="E6" s="147"/>
      <c r="F6" s="147"/>
      <c r="G6" s="147"/>
      <c r="H6" s="147"/>
      <c r="I6" s="147"/>
      <c r="J6" s="147"/>
      <c r="K6" s="147"/>
      <c r="L6" s="147"/>
      <c r="M6" s="147"/>
      <c r="N6" s="147"/>
      <c r="O6" s="148"/>
    </row>
    <row r="35" spans="2:12" ht="15" thickBot="1" x14ac:dyDescent="0.4"/>
    <row r="36" spans="2:12" ht="21" customHeight="1" thickBot="1" x14ac:dyDescent="0.4">
      <c r="B36" s="149" t="s">
        <v>13</v>
      </c>
      <c r="C36" s="150"/>
      <c r="D36" s="150"/>
      <c r="E36" s="150"/>
      <c r="F36" s="150"/>
      <c r="G36" s="150"/>
      <c r="H36" s="150"/>
      <c r="I36" s="150"/>
      <c r="J36" s="150"/>
      <c r="K36" s="150"/>
      <c r="L36" s="151"/>
    </row>
    <row r="37" spans="2:12" ht="78.75" customHeight="1" thickBot="1" x14ac:dyDescent="0.4">
      <c r="B37" s="17" t="s">
        <v>7</v>
      </c>
      <c r="C37" s="18" t="s">
        <v>19</v>
      </c>
      <c r="D37" s="18" t="s">
        <v>2</v>
      </c>
      <c r="E37" s="18" t="s">
        <v>21</v>
      </c>
      <c r="F37" s="18" t="s">
        <v>1</v>
      </c>
      <c r="G37" s="18" t="s">
        <v>20</v>
      </c>
      <c r="H37" s="18" t="s">
        <v>2</v>
      </c>
      <c r="I37" s="18" t="s">
        <v>10</v>
      </c>
      <c r="J37" s="18" t="s">
        <v>11</v>
      </c>
      <c r="K37" s="19" t="s">
        <v>1</v>
      </c>
      <c r="L37" s="20" t="s">
        <v>8</v>
      </c>
    </row>
    <row r="38" spans="2:12" x14ac:dyDescent="0.35">
      <c r="B38" s="31">
        <v>2</v>
      </c>
      <c r="C38" s="104">
        <v>0</v>
      </c>
      <c r="D38" s="105">
        <v>0.1</v>
      </c>
      <c r="E38" s="46"/>
      <c r="F38" s="47"/>
      <c r="G38" s="104">
        <v>1</v>
      </c>
      <c r="H38" s="105">
        <v>0.1</v>
      </c>
      <c r="I38" s="110">
        <v>400</v>
      </c>
      <c r="J38" s="46"/>
      <c r="K38" s="52"/>
      <c r="L38" s="55"/>
    </row>
    <row r="39" spans="2:12" x14ac:dyDescent="0.35">
      <c r="B39" s="32">
        <v>5</v>
      </c>
      <c r="C39" s="106">
        <v>15</v>
      </c>
      <c r="D39" s="107">
        <v>0.15</v>
      </c>
      <c r="E39" s="48"/>
      <c r="F39" s="49"/>
      <c r="G39" s="106">
        <v>2</v>
      </c>
      <c r="H39" s="107">
        <v>0.1</v>
      </c>
      <c r="I39" s="111">
        <v>1500</v>
      </c>
      <c r="J39" s="48"/>
      <c r="K39" s="53"/>
      <c r="L39" s="56"/>
    </row>
    <row r="40" spans="2:12" x14ac:dyDescent="0.35">
      <c r="B40" s="32">
        <v>10</v>
      </c>
      <c r="C40" s="106">
        <v>30</v>
      </c>
      <c r="D40" s="107">
        <v>0.2</v>
      </c>
      <c r="E40" s="48"/>
      <c r="F40" s="49"/>
      <c r="G40" s="106">
        <v>2</v>
      </c>
      <c r="H40" s="107">
        <v>0.1</v>
      </c>
      <c r="I40" s="111">
        <v>1500</v>
      </c>
      <c r="J40" s="48"/>
      <c r="K40" s="53"/>
      <c r="L40" s="56"/>
    </row>
    <row r="41" spans="2:12" x14ac:dyDescent="0.35">
      <c r="B41" s="32">
        <v>25</v>
      </c>
      <c r="C41" s="106">
        <v>40</v>
      </c>
      <c r="D41" s="107">
        <v>0.25</v>
      </c>
      <c r="E41" s="48"/>
      <c r="F41" s="49"/>
      <c r="G41" s="106">
        <v>2</v>
      </c>
      <c r="H41" s="107">
        <v>0.25</v>
      </c>
      <c r="I41" s="111">
        <v>1500</v>
      </c>
      <c r="J41" s="48"/>
      <c r="K41" s="53"/>
      <c r="L41" s="56"/>
    </row>
    <row r="42" spans="2:12" x14ac:dyDescent="0.35">
      <c r="B42" s="32">
        <v>50</v>
      </c>
      <c r="C42" s="106">
        <v>50</v>
      </c>
      <c r="D42" s="107">
        <v>0.6</v>
      </c>
      <c r="E42" s="48"/>
      <c r="F42" s="49"/>
      <c r="G42" s="106">
        <v>2</v>
      </c>
      <c r="H42" s="107">
        <v>0.25</v>
      </c>
      <c r="I42" s="111">
        <v>1500</v>
      </c>
      <c r="J42" s="48"/>
      <c r="K42" s="53"/>
      <c r="L42" s="56"/>
    </row>
    <row r="43" spans="2:12" x14ac:dyDescent="0.35">
      <c r="B43" s="32">
        <v>100</v>
      </c>
      <c r="C43" s="106">
        <v>55</v>
      </c>
      <c r="D43" s="107">
        <v>0.9</v>
      </c>
      <c r="E43" s="48"/>
      <c r="F43" s="49"/>
      <c r="G43" s="106">
        <v>2</v>
      </c>
      <c r="H43" s="111">
        <v>0.5</v>
      </c>
      <c r="I43" s="111">
        <v>1500</v>
      </c>
      <c r="J43" s="48"/>
      <c r="K43" s="53"/>
      <c r="L43" s="56"/>
    </row>
    <row r="44" spans="2:12" x14ac:dyDescent="0.35">
      <c r="B44" s="32">
        <v>200</v>
      </c>
      <c r="C44" s="106">
        <v>100</v>
      </c>
      <c r="D44" s="107">
        <v>0.6</v>
      </c>
      <c r="E44" s="48"/>
      <c r="F44" s="49"/>
      <c r="G44" s="106">
        <v>5</v>
      </c>
      <c r="H44" s="111">
        <v>0.25</v>
      </c>
      <c r="I44" s="111">
        <v>900</v>
      </c>
      <c r="J44" s="48"/>
      <c r="K44" s="53"/>
      <c r="L44" s="56"/>
    </row>
    <row r="45" spans="2:12" ht="15" thickBot="1" x14ac:dyDescent="0.4">
      <c r="B45" s="33">
        <v>300</v>
      </c>
      <c r="C45" s="108">
        <v>125</v>
      </c>
      <c r="D45" s="109">
        <v>0.3</v>
      </c>
      <c r="E45" s="50"/>
      <c r="F45" s="51"/>
      <c r="G45" s="108">
        <v>7</v>
      </c>
      <c r="H45" s="112">
        <v>0.15</v>
      </c>
      <c r="I45" s="112">
        <v>850</v>
      </c>
      <c r="J45" s="50"/>
      <c r="K45" s="54"/>
      <c r="L45" s="57"/>
    </row>
    <row r="52" spans="2:3" x14ac:dyDescent="0.35">
      <c r="B52" s="25" t="s">
        <v>59</v>
      </c>
    </row>
    <row r="53" spans="2:3" x14ac:dyDescent="0.35">
      <c r="C53" s="15"/>
    </row>
  </sheetData>
  <sheetProtection algorithmName="SHA-512" hashValue="JIdtqvqe/MFujty0zFfZk3vxz9haX0UKbm7roiZutvLzHckPAX5FalPbWnVVaGLpNsE/5NEp6fgcSCeTu5rLFQ==" saltValue="AJ1zBNLxBm247j+YbTDaUw==" spinCount="100000" sheet="1" objects="1" selectLockedCells="1"/>
  <mergeCells count="2">
    <mergeCell ref="C2:O6"/>
    <mergeCell ref="B36:L36"/>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T39"/>
  <sheetViews>
    <sheetView showGridLines="0" zoomScale="80" zoomScaleNormal="80" workbookViewId="0">
      <selection activeCell="F13" sqref="F13"/>
    </sheetView>
  </sheetViews>
  <sheetFormatPr defaultRowHeight="14.5" x14ac:dyDescent="0.35"/>
  <cols>
    <col min="1" max="1" width="2" customWidth="1"/>
    <col min="2" max="2" width="16.54296875" customWidth="1"/>
    <col min="3" max="3" width="18.26953125" customWidth="1"/>
    <col min="4" max="4" width="18" customWidth="1"/>
    <col min="5" max="5" width="18.7265625" customWidth="1"/>
    <col min="6" max="6" width="19.26953125" customWidth="1"/>
    <col min="7" max="8" width="15.26953125" customWidth="1"/>
    <col min="9" max="9" width="12.453125" customWidth="1"/>
    <col min="10" max="10" width="15.26953125" customWidth="1"/>
    <col min="11" max="11" width="18.81640625" customWidth="1"/>
    <col min="12" max="12" width="19" customWidth="1"/>
    <col min="13" max="13" width="10.453125" customWidth="1"/>
    <col min="14" max="17" width="11" bestFit="1" customWidth="1"/>
  </cols>
  <sheetData>
    <row r="1" spans="2:20" ht="9.75" customHeight="1" thickBot="1" x14ac:dyDescent="0.4"/>
    <row r="2" spans="2:20" ht="15.75" customHeight="1" x14ac:dyDescent="0.35">
      <c r="C2" s="140" t="s">
        <v>15</v>
      </c>
      <c r="D2" s="141"/>
      <c r="E2" s="141"/>
      <c r="F2" s="141"/>
      <c r="G2" s="141"/>
      <c r="H2" s="141"/>
      <c r="I2" s="141"/>
      <c r="J2" s="141"/>
      <c r="K2" s="141"/>
      <c r="L2" s="141"/>
      <c r="M2" s="141"/>
      <c r="N2" s="141"/>
      <c r="O2" s="141"/>
      <c r="P2" s="142"/>
    </row>
    <row r="3" spans="2:20" x14ac:dyDescent="0.35">
      <c r="C3" s="143"/>
      <c r="D3" s="144"/>
      <c r="E3" s="144"/>
      <c r="F3" s="144"/>
      <c r="G3" s="144"/>
      <c r="H3" s="144"/>
      <c r="I3" s="144"/>
      <c r="J3" s="144"/>
      <c r="K3" s="144"/>
      <c r="L3" s="144"/>
      <c r="M3" s="144"/>
      <c r="N3" s="144"/>
      <c r="O3" s="144"/>
      <c r="P3" s="145"/>
    </row>
    <row r="4" spans="2:20" x14ac:dyDescent="0.35">
      <c r="C4" s="143"/>
      <c r="D4" s="144"/>
      <c r="E4" s="144"/>
      <c r="F4" s="144"/>
      <c r="G4" s="144"/>
      <c r="H4" s="144"/>
      <c r="I4" s="144"/>
      <c r="J4" s="144"/>
      <c r="K4" s="144"/>
      <c r="L4" s="144"/>
      <c r="M4" s="144"/>
      <c r="N4" s="144"/>
      <c r="O4" s="144"/>
      <c r="P4" s="145"/>
    </row>
    <row r="5" spans="2:20" ht="13.5" customHeight="1" thickBot="1" x14ac:dyDescent="0.4">
      <c r="C5" s="146"/>
      <c r="D5" s="147"/>
      <c r="E5" s="147"/>
      <c r="F5" s="147"/>
      <c r="G5" s="147"/>
      <c r="H5" s="147"/>
      <c r="I5" s="147"/>
      <c r="J5" s="147"/>
      <c r="K5" s="147"/>
      <c r="L5" s="147"/>
      <c r="M5" s="147"/>
      <c r="N5" s="147"/>
      <c r="O5" s="147"/>
      <c r="P5" s="148"/>
    </row>
    <row r="6" spans="2:20" x14ac:dyDescent="0.35">
      <c r="C6" s="9"/>
      <c r="D6" s="9"/>
      <c r="E6" s="9"/>
      <c r="F6" s="9"/>
      <c r="G6" s="9"/>
      <c r="H6" s="9"/>
      <c r="I6" s="9"/>
      <c r="J6" s="9"/>
      <c r="K6" s="9"/>
      <c r="L6" s="9"/>
      <c r="M6" s="9"/>
      <c r="N6" s="9"/>
      <c r="O6" s="9"/>
    </row>
    <row r="10" spans="2:20" ht="15" thickBot="1" x14ac:dyDescent="0.4"/>
    <row r="11" spans="2:20" x14ac:dyDescent="0.35">
      <c r="B11" s="152" t="s">
        <v>57</v>
      </c>
      <c r="C11" s="153"/>
      <c r="D11" s="153"/>
      <c r="E11" s="153"/>
      <c r="F11" s="153"/>
      <c r="G11" s="153"/>
      <c r="H11" s="153"/>
      <c r="I11" s="153"/>
      <c r="J11" s="153"/>
      <c r="K11" s="153"/>
      <c r="L11" s="153"/>
      <c r="M11" s="153"/>
      <c r="N11" s="153"/>
      <c r="O11" s="153"/>
      <c r="P11" s="153"/>
      <c r="Q11" s="154"/>
      <c r="R11" s="16"/>
    </row>
    <row r="12" spans="2:20" x14ac:dyDescent="0.35">
      <c r="B12" s="72" t="s">
        <v>9</v>
      </c>
      <c r="C12" s="101">
        <v>-0.3</v>
      </c>
      <c r="D12" s="101">
        <v>0</v>
      </c>
      <c r="E12" s="101">
        <v>0.05</v>
      </c>
      <c r="F12" s="101">
        <v>0.1</v>
      </c>
      <c r="G12" s="101">
        <v>0.2</v>
      </c>
      <c r="H12" s="101">
        <v>0.3</v>
      </c>
      <c r="I12" s="101">
        <v>0.6</v>
      </c>
      <c r="J12" s="101">
        <v>0.9</v>
      </c>
      <c r="K12" s="101">
        <v>1.2</v>
      </c>
      <c r="L12" s="101">
        <v>1.5</v>
      </c>
      <c r="M12" s="101">
        <v>1.8</v>
      </c>
      <c r="N12" s="101">
        <v>2.1</v>
      </c>
      <c r="O12" s="101">
        <v>2.4</v>
      </c>
      <c r="P12" s="101">
        <v>2.7</v>
      </c>
      <c r="Q12" s="102">
        <v>3</v>
      </c>
    </row>
    <row r="13" spans="2:20" ht="15" thickBot="1" x14ac:dyDescent="0.4">
      <c r="B13" s="45" t="s">
        <v>12</v>
      </c>
      <c r="C13" s="113">
        <v>3164</v>
      </c>
      <c r="D13" s="113">
        <v>3164</v>
      </c>
      <c r="E13" s="113">
        <v>9043</v>
      </c>
      <c r="F13" s="113">
        <v>13325</v>
      </c>
      <c r="G13" s="113">
        <v>20652</v>
      </c>
      <c r="H13" s="113">
        <v>24877</v>
      </c>
      <c r="I13" s="113">
        <v>29926</v>
      </c>
      <c r="J13" s="113">
        <v>33073</v>
      </c>
      <c r="K13" s="113">
        <v>36691</v>
      </c>
      <c r="L13" s="113">
        <v>40336</v>
      </c>
      <c r="M13" s="113">
        <v>44646</v>
      </c>
      <c r="N13" s="113">
        <v>48593</v>
      </c>
      <c r="O13" s="113">
        <v>52646</v>
      </c>
      <c r="P13" s="113">
        <v>61042</v>
      </c>
      <c r="Q13" s="114">
        <v>64074</v>
      </c>
      <c r="R13" s="64"/>
      <c r="S13" s="64"/>
      <c r="T13" s="64"/>
    </row>
    <row r="14" spans="2:20" ht="15" thickBot="1" x14ac:dyDescent="0.4">
      <c r="R14" s="65"/>
      <c r="S14" s="64"/>
      <c r="T14" s="64"/>
    </row>
    <row r="15" spans="2:20" ht="15" thickBot="1" x14ac:dyDescent="0.4">
      <c r="B15" s="155" t="s">
        <v>58</v>
      </c>
      <c r="C15" s="156"/>
      <c r="D15" s="156"/>
      <c r="E15" s="156"/>
      <c r="F15" s="156"/>
      <c r="G15" s="156"/>
      <c r="H15" s="156"/>
      <c r="I15" s="156"/>
      <c r="J15" s="156"/>
      <c r="K15" s="156"/>
      <c r="L15" s="156"/>
      <c r="M15" s="156"/>
      <c r="N15" s="156"/>
      <c r="O15" s="156"/>
      <c r="P15" s="156"/>
      <c r="Q15" s="156"/>
      <c r="R15" s="156"/>
      <c r="S15" s="157"/>
      <c r="T15" s="64"/>
    </row>
    <row r="16" spans="2:20" ht="15" thickBot="1" x14ac:dyDescent="0.4">
      <c r="B16" s="68" t="s">
        <v>9</v>
      </c>
      <c r="C16" s="69">
        <v>-1</v>
      </c>
      <c r="D16" s="70">
        <v>-0.75</v>
      </c>
      <c r="E16" s="70">
        <v>-0.5</v>
      </c>
      <c r="F16" s="70">
        <v>-0.25</v>
      </c>
      <c r="G16" s="70">
        <v>0</v>
      </c>
      <c r="H16" s="70">
        <v>0.25</v>
      </c>
      <c r="I16" s="70">
        <v>0.5</v>
      </c>
      <c r="J16" s="70">
        <v>0.75</v>
      </c>
      <c r="K16" s="70">
        <v>1</v>
      </c>
      <c r="L16" s="70">
        <v>1.25</v>
      </c>
      <c r="M16" s="70">
        <v>1.5</v>
      </c>
      <c r="N16" s="70">
        <v>1.75</v>
      </c>
      <c r="O16" s="70">
        <v>2</v>
      </c>
      <c r="P16" s="70">
        <v>2.25</v>
      </c>
      <c r="Q16" s="70">
        <v>2.5</v>
      </c>
      <c r="R16" s="70">
        <v>2.75</v>
      </c>
      <c r="S16" s="71">
        <v>3</v>
      </c>
      <c r="T16" s="64"/>
    </row>
    <row r="17" spans="2:20" ht="15" thickBot="1" x14ac:dyDescent="0.4">
      <c r="B17" s="67" t="s">
        <v>29</v>
      </c>
      <c r="C17" s="115">
        <v>7</v>
      </c>
      <c r="D17" s="115">
        <v>10</v>
      </c>
      <c r="E17" s="115">
        <v>10</v>
      </c>
      <c r="F17" s="115">
        <v>11</v>
      </c>
      <c r="G17" s="115">
        <v>75</v>
      </c>
      <c r="H17" s="115">
        <v>465</v>
      </c>
      <c r="I17" s="115">
        <v>659</v>
      </c>
      <c r="J17" s="115">
        <v>847</v>
      </c>
      <c r="K17" s="115">
        <v>1147</v>
      </c>
      <c r="L17" s="115">
        <v>1351</v>
      </c>
      <c r="M17" s="115">
        <v>1610</v>
      </c>
      <c r="N17" s="115">
        <v>1765</v>
      </c>
      <c r="O17" s="115">
        <v>2246</v>
      </c>
      <c r="P17" s="115">
        <v>2343</v>
      </c>
      <c r="Q17" s="115">
        <v>2422</v>
      </c>
      <c r="R17" s="115">
        <v>2458</v>
      </c>
      <c r="S17" s="115">
        <v>2505</v>
      </c>
      <c r="T17" s="64"/>
    </row>
    <row r="18" spans="2:20" ht="15" thickBot="1" x14ac:dyDescent="0.4">
      <c r="C18" s="66"/>
      <c r="D18" s="66"/>
      <c r="E18" s="66"/>
      <c r="F18" s="66"/>
      <c r="G18" s="66"/>
      <c r="H18" s="66"/>
      <c r="I18" s="66"/>
      <c r="J18" s="66"/>
      <c r="K18" s="66"/>
      <c r="L18" s="66"/>
      <c r="M18" s="66"/>
      <c r="N18" s="66"/>
      <c r="O18" s="66"/>
      <c r="P18" s="66"/>
      <c r="Q18" s="66"/>
      <c r="R18" s="66"/>
      <c r="S18" s="66"/>
      <c r="T18" s="64"/>
    </row>
    <row r="19" spans="2:20" x14ac:dyDescent="0.35">
      <c r="B19" s="158" t="s">
        <v>55</v>
      </c>
      <c r="C19" s="159"/>
      <c r="D19" s="159"/>
      <c r="E19" s="159"/>
      <c r="F19" s="159"/>
      <c r="G19" s="159"/>
      <c r="H19" s="159"/>
      <c r="I19" s="159"/>
      <c r="J19" s="159"/>
      <c r="K19" s="159"/>
      <c r="L19" s="160"/>
      <c r="M19" s="66"/>
      <c r="N19" s="66"/>
      <c r="O19" s="66"/>
      <c r="P19" s="66"/>
      <c r="Q19" s="66"/>
      <c r="R19" s="66"/>
      <c r="S19" s="66"/>
      <c r="T19" s="64"/>
    </row>
    <row r="20" spans="2:20" x14ac:dyDescent="0.35">
      <c r="B20" s="161"/>
      <c r="C20" s="162"/>
      <c r="D20" s="162"/>
      <c r="E20" s="162"/>
      <c r="F20" s="162"/>
      <c r="G20" s="162"/>
      <c r="H20" s="162"/>
      <c r="I20" s="162"/>
      <c r="J20" s="162"/>
      <c r="K20" s="162"/>
      <c r="L20" s="163"/>
      <c r="R20" s="64"/>
      <c r="S20" s="64"/>
      <c r="T20" s="64"/>
    </row>
    <row r="21" spans="2:20" ht="45" customHeight="1" thickBot="1" x14ac:dyDescent="0.4">
      <c r="B21" s="164"/>
      <c r="C21" s="165"/>
      <c r="D21" s="165"/>
      <c r="E21" s="165"/>
      <c r="F21" s="165"/>
      <c r="G21" s="165"/>
      <c r="H21" s="165"/>
      <c r="I21" s="165"/>
      <c r="J21" s="165"/>
      <c r="K21" s="165"/>
      <c r="L21" s="166"/>
      <c r="R21" s="64"/>
      <c r="S21" s="64"/>
      <c r="T21" s="64"/>
    </row>
    <row r="22" spans="2:20" ht="15" thickBot="1" x14ac:dyDescent="0.4">
      <c r="R22" s="64"/>
      <c r="S22" s="64"/>
      <c r="T22" s="64"/>
    </row>
    <row r="23" spans="2:20" ht="24" thickBot="1" x14ac:dyDescent="0.4">
      <c r="B23" s="149" t="s">
        <v>14</v>
      </c>
      <c r="C23" s="150"/>
      <c r="D23" s="150"/>
      <c r="E23" s="150"/>
      <c r="F23" s="150"/>
      <c r="G23" s="150"/>
      <c r="H23" s="150"/>
      <c r="I23" s="150"/>
      <c r="J23" s="150"/>
      <c r="K23" s="150"/>
      <c r="L23" s="151"/>
      <c r="M23" s="10"/>
      <c r="R23" s="64"/>
      <c r="S23" s="64"/>
      <c r="T23" s="64"/>
    </row>
    <row r="24" spans="2:20" ht="66.75" customHeight="1" thickBot="1" x14ac:dyDescent="0.4">
      <c r="B24" s="23" t="s">
        <v>7</v>
      </c>
      <c r="C24" s="18" t="s">
        <v>19</v>
      </c>
      <c r="D24" s="18" t="s">
        <v>2</v>
      </c>
      <c r="E24" s="58" t="s">
        <v>21</v>
      </c>
      <c r="F24" s="58" t="s">
        <v>46</v>
      </c>
      <c r="G24" s="18" t="s">
        <v>0</v>
      </c>
      <c r="H24" s="18" t="s">
        <v>2</v>
      </c>
      <c r="I24" s="18" t="s">
        <v>10</v>
      </c>
      <c r="J24" s="58" t="s">
        <v>11</v>
      </c>
      <c r="K24" s="59" t="s">
        <v>47</v>
      </c>
      <c r="L24" s="63" t="s">
        <v>28</v>
      </c>
    </row>
    <row r="25" spans="2:20" x14ac:dyDescent="0.35">
      <c r="B25" s="21">
        <f>'Step 1'!B38</f>
        <v>2</v>
      </c>
      <c r="C25" s="22">
        <f>'Step 1'!C38</f>
        <v>0</v>
      </c>
      <c r="D25" s="22">
        <f>'Step 1'!D38</f>
        <v>0.1</v>
      </c>
      <c r="E25" s="39">
        <f>INDEX($C$12:$Q$13,2,MATCH(D25,$C$12:$Q$12,1))</f>
        <v>13325</v>
      </c>
      <c r="F25" s="39">
        <f>+E25*C25</f>
        <v>0</v>
      </c>
      <c r="G25" s="22">
        <f>'Step 1'!G38</f>
        <v>1</v>
      </c>
      <c r="H25" s="22">
        <f>'Step 1'!H38</f>
        <v>0.1</v>
      </c>
      <c r="I25" s="22">
        <f>'Step 1'!I38</f>
        <v>400</v>
      </c>
      <c r="J25" s="39">
        <f>INDEX($C$16:$S$17,2,MATCH(H25,$C$16:$S$16,1))</f>
        <v>75</v>
      </c>
      <c r="K25" s="42">
        <f>+G25*I25*J25</f>
        <v>30000</v>
      </c>
      <c r="L25" s="60">
        <f>IF(B25&lt;&gt;0,F25+K25,"N/A")</f>
        <v>30000</v>
      </c>
    </row>
    <row r="26" spans="2:20" x14ac:dyDescent="0.35">
      <c r="B26" s="12">
        <f>'Step 1'!B39</f>
        <v>5</v>
      </c>
      <c r="C26" s="11">
        <f>'Step 1'!C39</f>
        <v>15</v>
      </c>
      <c r="D26" s="11">
        <f>'Step 1'!D39</f>
        <v>0.15</v>
      </c>
      <c r="E26" s="39">
        <f t="shared" ref="E26:E32" si="0">INDEX($C$12:$Q$13,2,MATCH(D26,$C$12:$Q$12,1))</f>
        <v>13325</v>
      </c>
      <c r="F26" s="40">
        <f t="shared" ref="F26:F32" si="1">+E26*C26</f>
        <v>199875</v>
      </c>
      <c r="G26" s="11">
        <f>'Step 1'!G39</f>
        <v>2</v>
      </c>
      <c r="H26" s="11">
        <f>'Step 1'!H39</f>
        <v>0.1</v>
      </c>
      <c r="I26" s="11">
        <f>'Step 1'!I39</f>
        <v>1500</v>
      </c>
      <c r="J26" s="39">
        <f t="shared" ref="J26:J32" si="2">INDEX($C$16:$S$17,2,MATCH(H26,$C$16:$S$16,1))</f>
        <v>75</v>
      </c>
      <c r="K26" s="43">
        <f t="shared" ref="K26:K32" si="3">+G26*I26*J26</f>
        <v>225000</v>
      </c>
      <c r="L26" s="61">
        <f t="shared" ref="L26:L31" si="4">IF(B26&lt;&gt;0,F26+K26,"N/A")</f>
        <v>424875</v>
      </c>
    </row>
    <row r="27" spans="2:20" x14ac:dyDescent="0.35">
      <c r="B27" s="12">
        <f>'Step 1'!B40</f>
        <v>10</v>
      </c>
      <c r="C27" s="11">
        <f>'Step 1'!C40</f>
        <v>30</v>
      </c>
      <c r="D27" s="11">
        <f>'Step 1'!D40</f>
        <v>0.2</v>
      </c>
      <c r="E27" s="39">
        <f t="shared" si="0"/>
        <v>20652</v>
      </c>
      <c r="F27" s="40">
        <f t="shared" si="1"/>
        <v>619560</v>
      </c>
      <c r="G27" s="11">
        <f>'Step 1'!G40</f>
        <v>2</v>
      </c>
      <c r="H27" s="11">
        <f>'Step 1'!H40</f>
        <v>0.1</v>
      </c>
      <c r="I27" s="11">
        <f>'Step 1'!I40</f>
        <v>1500</v>
      </c>
      <c r="J27" s="39">
        <f t="shared" si="2"/>
        <v>75</v>
      </c>
      <c r="K27" s="43">
        <f t="shared" si="3"/>
        <v>225000</v>
      </c>
      <c r="L27" s="61">
        <f t="shared" si="4"/>
        <v>844560</v>
      </c>
    </row>
    <row r="28" spans="2:20" x14ac:dyDescent="0.35">
      <c r="B28" s="12">
        <f>'Step 1'!B41</f>
        <v>25</v>
      </c>
      <c r="C28" s="11">
        <f>'Step 1'!C41</f>
        <v>40</v>
      </c>
      <c r="D28" s="11">
        <f>'Step 1'!D41</f>
        <v>0.25</v>
      </c>
      <c r="E28" s="39">
        <f t="shared" si="0"/>
        <v>20652</v>
      </c>
      <c r="F28" s="40">
        <f t="shared" si="1"/>
        <v>826080</v>
      </c>
      <c r="G28" s="11">
        <f>'Step 1'!G41</f>
        <v>2</v>
      </c>
      <c r="H28" s="11">
        <f>'Step 1'!H41</f>
        <v>0.25</v>
      </c>
      <c r="I28" s="11">
        <f>'Step 1'!I41</f>
        <v>1500</v>
      </c>
      <c r="J28" s="39">
        <f t="shared" si="2"/>
        <v>465</v>
      </c>
      <c r="K28" s="43">
        <f t="shared" si="3"/>
        <v>1395000</v>
      </c>
      <c r="L28" s="61">
        <f t="shared" si="4"/>
        <v>2221080</v>
      </c>
    </row>
    <row r="29" spans="2:20" x14ac:dyDescent="0.35">
      <c r="B29" s="12">
        <f>'Step 1'!B42</f>
        <v>50</v>
      </c>
      <c r="C29" s="11">
        <f>'Step 1'!C42</f>
        <v>50</v>
      </c>
      <c r="D29" s="11">
        <f>'Step 1'!D42</f>
        <v>0.6</v>
      </c>
      <c r="E29" s="39">
        <f t="shared" si="0"/>
        <v>29926</v>
      </c>
      <c r="F29" s="40">
        <f t="shared" si="1"/>
        <v>1496300</v>
      </c>
      <c r="G29" s="11">
        <f>'Step 1'!G42</f>
        <v>2</v>
      </c>
      <c r="H29" s="11">
        <f>'Step 1'!H42</f>
        <v>0.25</v>
      </c>
      <c r="I29" s="11">
        <f>'Step 1'!I42</f>
        <v>1500</v>
      </c>
      <c r="J29" s="39">
        <f t="shared" si="2"/>
        <v>465</v>
      </c>
      <c r="K29" s="43">
        <f t="shared" si="3"/>
        <v>1395000</v>
      </c>
      <c r="L29" s="61">
        <f t="shared" si="4"/>
        <v>2891300</v>
      </c>
    </row>
    <row r="30" spans="2:20" x14ac:dyDescent="0.35">
      <c r="B30" s="12">
        <f>'Step 1'!B43</f>
        <v>100</v>
      </c>
      <c r="C30" s="11">
        <f>'Step 1'!C43</f>
        <v>55</v>
      </c>
      <c r="D30" s="11">
        <f>'Step 1'!D43</f>
        <v>0.9</v>
      </c>
      <c r="E30" s="39">
        <f t="shared" si="0"/>
        <v>33073</v>
      </c>
      <c r="F30" s="40">
        <f t="shared" si="1"/>
        <v>1819015</v>
      </c>
      <c r="G30" s="11">
        <f>'Step 1'!G43</f>
        <v>2</v>
      </c>
      <c r="H30" s="11">
        <f>'Step 1'!H43</f>
        <v>0.5</v>
      </c>
      <c r="I30" s="11">
        <f>'Step 1'!I43</f>
        <v>1500</v>
      </c>
      <c r="J30" s="39">
        <f t="shared" si="2"/>
        <v>659</v>
      </c>
      <c r="K30" s="43">
        <f t="shared" si="3"/>
        <v>1977000</v>
      </c>
      <c r="L30" s="61">
        <f t="shared" si="4"/>
        <v>3796015</v>
      </c>
    </row>
    <row r="31" spans="2:20" x14ac:dyDescent="0.35">
      <c r="B31" s="12">
        <f>'Step 1'!B44</f>
        <v>200</v>
      </c>
      <c r="C31" s="11">
        <f>'Step 1'!C44</f>
        <v>100</v>
      </c>
      <c r="D31" s="11">
        <f>'Step 1'!D44</f>
        <v>0.6</v>
      </c>
      <c r="E31" s="39">
        <f t="shared" si="0"/>
        <v>29926</v>
      </c>
      <c r="F31" s="40">
        <f t="shared" si="1"/>
        <v>2992600</v>
      </c>
      <c r="G31" s="11">
        <f>'Step 1'!G44</f>
        <v>5</v>
      </c>
      <c r="H31" s="11">
        <f>'Step 1'!H44</f>
        <v>0.25</v>
      </c>
      <c r="I31" s="11">
        <f>'Step 1'!I44</f>
        <v>900</v>
      </c>
      <c r="J31" s="39">
        <f t="shared" si="2"/>
        <v>465</v>
      </c>
      <c r="K31" s="43">
        <f t="shared" si="3"/>
        <v>2092500</v>
      </c>
      <c r="L31" s="61">
        <f t="shared" si="4"/>
        <v>5085100</v>
      </c>
    </row>
    <row r="32" spans="2:20" ht="15" thickBot="1" x14ac:dyDescent="0.4">
      <c r="B32" s="13">
        <f>'Step 1'!B45</f>
        <v>300</v>
      </c>
      <c r="C32" s="14">
        <f>'Step 1'!C45</f>
        <v>125</v>
      </c>
      <c r="D32" s="14">
        <f>'Step 1'!D45</f>
        <v>0.3</v>
      </c>
      <c r="E32" s="39">
        <f t="shared" si="0"/>
        <v>24877</v>
      </c>
      <c r="F32" s="41">
        <f t="shared" si="1"/>
        <v>3109625</v>
      </c>
      <c r="G32" s="14">
        <f>'Step 1'!G45</f>
        <v>7</v>
      </c>
      <c r="H32" s="14">
        <f>'Step 1'!H45</f>
        <v>0.15</v>
      </c>
      <c r="I32" s="14">
        <f>'Step 1'!I45</f>
        <v>850</v>
      </c>
      <c r="J32" s="39">
        <f t="shared" si="2"/>
        <v>75</v>
      </c>
      <c r="K32" s="44">
        <f t="shared" si="3"/>
        <v>446250</v>
      </c>
      <c r="L32" s="62">
        <f>IF(B32&lt;&gt;0,F32+K32,"N/A")</f>
        <v>3555875</v>
      </c>
    </row>
    <row r="39" spans="2:2" x14ac:dyDescent="0.35">
      <c r="B39" s="25" t="s">
        <v>59</v>
      </c>
    </row>
  </sheetData>
  <sheetProtection algorithmName="SHA-512" hashValue="HLRZZQJq36Y5oeteC9B+s6925j1WO60Z4UImn3+5nkcksQxxb5WI3sOo27ehtYftUei5D0RNXS4QGP+EBIJ9zQ==" saltValue="dSDtOXPN34LO+TJWZD4xnw==" spinCount="100000" sheet="1" objects="1" selectLockedCells="1"/>
  <mergeCells count="5">
    <mergeCell ref="C2:P5"/>
    <mergeCell ref="B23:L23"/>
    <mergeCell ref="B11:Q11"/>
    <mergeCell ref="B15:S15"/>
    <mergeCell ref="B19:L21"/>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S33"/>
  <sheetViews>
    <sheetView showGridLines="0" zoomScale="80" zoomScaleNormal="80" workbookViewId="0">
      <selection activeCell="M12" sqref="M12"/>
    </sheetView>
  </sheetViews>
  <sheetFormatPr defaultRowHeight="14.5" x14ac:dyDescent="0.35"/>
  <cols>
    <col min="1" max="1" width="1.26953125" customWidth="1"/>
    <col min="2" max="2" width="5.81640625" hidden="1" customWidth="1"/>
    <col min="4" max="4" width="12.81640625" customWidth="1"/>
    <col min="5" max="5" width="11.26953125" customWidth="1"/>
    <col min="6" max="6" width="11.81640625" customWidth="1"/>
    <col min="7" max="7" width="15.81640625" customWidth="1"/>
    <col min="8" max="8" width="12.1796875" customWidth="1"/>
    <col min="9" max="9" width="13.54296875" customWidth="1"/>
    <col min="10" max="10" width="18.26953125" customWidth="1"/>
  </cols>
  <sheetData>
    <row r="1" spans="3:19" ht="9" customHeight="1" thickBot="1" x14ac:dyDescent="0.4"/>
    <row r="2" spans="3:19" ht="15" customHeight="1" x14ac:dyDescent="0.35">
      <c r="C2" s="9"/>
      <c r="D2" s="9"/>
      <c r="E2" s="167" t="s">
        <v>56</v>
      </c>
      <c r="F2" s="168"/>
      <c r="G2" s="168"/>
      <c r="H2" s="168"/>
      <c r="I2" s="168"/>
      <c r="J2" s="168"/>
      <c r="K2" s="168"/>
      <c r="L2" s="168"/>
      <c r="M2" s="168"/>
      <c r="N2" s="168"/>
      <c r="O2" s="168"/>
      <c r="P2" s="168"/>
      <c r="Q2" s="168"/>
      <c r="R2" s="168"/>
      <c r="S2" s="169"/>
    </row>
    <row r="3" spans="3:19" x14ac:dyDescent="0.35">
      <c r="C3" s="9"/>
      <c r="D3" s="9"/>
      <c r="E3" s="170"/>
      <c r="F3" s="171"/>
      <c r="G3" s="171"/>
      <c r="H3" s="171"/>
      <c r="I3" s="171"/>
      <c r="J3" s="171"/>
      <c r="K3" s="171"/>
      <c r="L3" s="171"/>
      <c r="M3" s="171"/>
      <c r="N3" s="171"/>
      <c r="O3" s="171"/>
      <c r="P3" s="171"/>
      <c r="Q3" s="171"/>
      <c r="R3" s="171"/>
      <c r="S3" s="172"/>
    </row>
    <row r="4" spans="3:19" x14ac:dyDescent="0.35">
      <c r="C4" s="9"/>
      <c r="D4" s="9"/>
      <c r="E4" s="170"/>
      <c r="F4" s="171"/>
      <c r="G4" s="171"/>
      <c r="H4" s="171"/>
      <c r="I4" s="171"/>
      <c r="J4" s="171"/>
      <c r="K4" s="171"/>
      <c r="L4" s="171"/>
      <c r="M4" s="171"/>
      <c r="N4" s="171"/>
      <c r="O4" s="171"/>
      <c r="P4" s="171"/>
      <c r="Q4" s="171"/>
      <c r="R4" s="171"/>
      <c r="S4" s="172"/>
    </row>
    <row r="5" spans="3:19" x14ac:dyDescent="0.35">
      <c r="C5" s="9"/>
      <c r="D5" s="9"/>
      <c r="E5" s="170"/>
      <c r="F5" s="171"/>
      <c r="G5" s="171"/>
      <c r="H5" s="171"/>
      <c r="I5" s="171"/>
      <c r="J5" s="171"/>
      <c r="K5" s="171"/>
      <c r="L5" s="171"/>
      <c r="M5" s="171"/>
      <c r="N5" s="171"/>
      <c r="O5" s="171"/>
      <c r="P5" s="171"/>
      <c r="Q5" s="171"/>
      <c r="R5" s="171"/>
      <c r="S5" s="172"/>
    </row>
    <row r="6" spans="3:19" ht="15" customHeight="1" thickBot="1" x14ac:dyDescent="0.4">
      <c r="C6" s="9"/>
      <c r="D6" s="9"/>
      <c r="E6" s="173"/>
      <c r="F6" s="174"/>
      <c r="G6" s="174"/>
      <c r="H6" s="174"/>
      <c r="I6" s="174"/>
      <c r="J6" s="174"/>
      <c r="K6" s="174"/>
      <c r="L6" s="174"/>
      <c r="M6" s="174"/>
      <c r="N6" s="174"/>
      <c r="O6" s="174"/>
      <c r="P6" s="174"/>
      <c r="Q6" s="174"/>
      <c r="R6" s="174"/>
      <c r="S6" s="175"/>
    </row>
    <row r="7" spans="3:19" x14ac:dyDescent="0.35">
      <c r="C7" s="9"/>
      <c r="D7" s="9"/>
      <c r="E7" s="9"/>
      <c r="F7" s="9"/>
      <c r="G7" s="9"/>
      <c r="H7" s="9"/>
      <c r="I7" s="9"/>
      <c r="J7" s="9"/>
      <c r="K7" s="9"/>
      <c r="L7" s="9"/>
      <c r="M7" s="9"/>
      <c r="N7" s="9"/>
      <c r="O7" s="9"/>
      <c r="P7" s="9"/>
      <c r="Q7" s="9"/>
    </row>
    <row r="11" spans="3:19" ht="15" thickBot="1" x14ac:dyDescent="0.4"/>
    <row r="12" spans="3:19" ht="29" x14ac:dyDescent="0.35">
      <c r="C12" s="178" t="s">
        <v>16</v>
      </c>
      <c r="D12" s="179"/>
      <c r="E12" s="179"/>
      <c r="F12" s="179"/>
      <c r="G12" s="179"/>
      <c r="H12" s="179"/>
      <c r="I12" s="179"/>
      <c r="J12" s="180"/>
      <c r="L12" s="129" t="s">
        <v>3</v>
      </c>
      <c r="M12" s="134">
        <v>100</v>
      </c>
    </row>
    <row r="13" spans="3:19" ht="30.75" customHeight="1" x14ac:dyDescent="0.35">
      <c r="C13" s="176" t="s">
        <v>38</v>
      </c>
      <c r="D13" s="177"/>
      <c r="E13" s="177"/>
      <c r="F13" s="177" t="s">
        <v>26</v>
      </c>
      <c r="G13" s="177"/>
      <c r="H13" s="177"/>
      <c r="I13" s="177"/>
      <c r="J13" s="181" t="s">
        <v>39</v>
      </c>
      <c r="L13" s="130" t="s">
        <v>4</v>
      </c>
      <c r="M13" s="131" t="s">
        <v>5</v>
      </c>
    </row>
    <row r="14" spans="3:19" ht="43.5" x14ac:dyDescent="0.35">
      <c r="C14" s="81" t="s">
        <v>35</v>
      </c>
      <c r="D14" s="79" t="s">
        <v>30</v>
      </c>
      <c r="E14" s="89" t="s">
        <v>40</v>
      </c>
      <c r="F14" s="80" t="s">
        <v>34</v>
      </c>
      <c r="G14" s="80" t="s">
        <v>32</v>
      </c>
      <c r="H14" s="80" t="s">
        <v>33</v>
      </c>
      <c r="I14" s="80" t="s">
        <v>31</v>
      </c>
      <c r="J14" s="181"/>
      <c r="L14" s="132" t="s">
        <v>6</v>
      </c>
      <c r="M14" s="133">
        <f>IF(ISBLANK(M12), " ", VLOOKUP(M12,discounting_hidden!C8:F108,4,FALSE))</f>
        <v>29.863363355642239</v>
      </c>
    </row>
    <row r="15" spans="3:19" x14ac:dyDescent="0.35">
      <c r="C15" s="3">
        <f>'Step 2'!B25</f>
        <v>2</v>
      </c>
      <c r="D15" s="5">
        <f>IFERROR(1/C15, "N/A")</f>
        <v>0.5</v>
      </c>
      <c r="E15" s="90">
        <f>'Step 2'!L25</f>
        <v>30000</v>
      </c>
      <c r="F15" s="73"/>
      <c r="G15" s="73"/>
      <c r="H15" s="73"/>
      <c r="I15" s="73"/>
      <c r="J15" s="86"/>
    </row>
    <row r="16" spans="3:19" x14ac:dyDescent="0.35">
      <c r="C16" s="3"/>
      <c r="D16" s="5"/>
      <c r="E16" s="90"/>
      <c r="F16" s="74">
        <f>IFERROR(D15-D17, "N/A")</f>
        <v>0.3</v>
      </c>
      <c r="G16" s="75">
        <f>IFERROR((E15+E17)/2,"N/A")</f>
        <v>227437.5</v>
      </c>
      <c r="H16" s="75">
        <f>IFERROR(G16*F16,"N/A")</f>
        <v>68231.25</v>
      </c>
      <c r="I16" s="40">
        <f>+H16</f>
        <v>68231.25</v>
      </c>
      <c r="J16" s="87">
        <f>IFERROR(+I16*$M$14,"N/A")</f>
        <v>2037614.6109596645</v>
      </c>
    </row>
    <row r="17" spans="3:13" x14ac:dyDescent="0.35">
      <c r="C17" s="3">
        <f>'Step 2'!B26</f>
        <v>5</v>
      </c>
      <c r="D17" s="5">
        <f>IFERROR(1/C17, "N/A")</f>
        <v>0.2</v>
      </c>
      <c r="E17" s="90">
        <f>'Step 2'!L26</f>
        <v>424875</v>
      </c>
      <c r="F17" s="73"/>
      <c r="G17" s="73"/>
      <c r="H17" s="73"/>
      <c r="I17" s="73"/>
      <c r="J17" s="86"/>
    </row>
    <row r="18" spans="3:13" x14ac:dyDescent="0.35">
      <c r="C18" s="3"/>
      <c r="D18" s="5"/>
      <c r="E18" s="90"/>
      <c r="F18" s="74">
        <f>IFERROR(D17-D19, "N/A")</f>
        <v>0.1</v>
      </c>
      <c r="G18" s="75">
        <f>IFERROR((E17+E19)/2,"N/A")</f>
        <v>634717.5</v>
      </c>
      <c r="H18" s="75">
        <f>IFERROR(G18*F18,"N/A")</f>
        <v>63471.75</v>
      </c>
      <c r="I18" s="40">
        <f>IFERROR(H18+I16,"N/A")</f>
        <v>131703</v>
      </c>
      <c r="J18" s="87">
        <f>IFERROR(+I18*$M$14,"N/A")</f>
        <v>3933094.5440281499</v>
      </c>
    </row>
    <row r="19" spans="3:13" x14ac:dyDescent="0.35">
      <c r="C19" s="3">
        <f>'Step 2'!B27</f>
        <v>10</v>
      </c>
      <c r="D19" s="5">
        <f>IFERROR(1/C19, "N/A")</f>
        <v>0.1</v>
      </c>
      <c r="E19" s="90">
        <f>'Step 2'!L27</f>
        <v>844560</v>
      </c>
      <c r="F19" s="73"/>
      <c r="G19" s="73"/>
      <c r="H19" s="73"/>
      <c r="I19" s="73"/>
      <c r="J19" s="86"/>
    </row>
    <row r="20" spans="3:13" x14ac:dyDescent="0.35">
      <c r="C20" s="3"/>
      <c r="D20" s="5"/>
      <c r="E20" s="90"/>
      <c r="F20" s="74">
        <f>IFERROR(D19-D21, "N/A")</f>
        <v>6.0000000000000005E-2</v>
      </c>
      <c r="G20" s="75">
        <f>IFERROR((E19+E21)/2,"N/A")</f>
        <v>1532820</v>
      </c>
      <c r="H20" s="75">
        <f>IFERROR(G20*F20,"N/A")</f>
        <v>91969.200000000012</v>
      </c>
      <c r="I20" s="40">
        <f>IFERROR(H20+I18,"N/A")</f>
        <v>223672.2</v>
      </c>
      <c r="J20" s="87">
        <f>IFERROR(+I20*$M$14,"N/A")</f>
        <v>6679604.1811558828</v>
      </c>
      <c r="M20" s="103"/>
    </row>
    <row r="21" spans="3:13" x14ac:dyDescent="0.35">
      <c r="C21" s="3">
        <f>'Step 2'!B28</f>
        <v>25</v>
      </c>
      <c r="D21" s="5">
        <f>IFERROR(1/C21, "N/A")</f>
        <v>0.04</v>
      </c>
      <c r="E21" s="90">
        <f>'Step 2'!L28</f>
        <v>2221080</v>
      </c>
      <c r="F21" s="73"/>
      <c r="G21" s="73"/>
      <c r="H21" s="73"/>
      <c r="I21" s="73"/>
      <c r="J21" s="86"/>
    </row>
    <row r="22" spans="3:13" x14ac:dyDescent="0.35">
      <c r="C22" s="3"/>
      <c r="D22" s="5"/>
      <c r="E22" s="90"/>
      <c r="F22" s="74">
        <f>IFERROR(D21-D23, "N/A")</f>
        <v>0.02</v>
      </c>
      <c r="G22" s="75">
        <f>IFERROR((E21+E23)/2,"N/A")</f>
        <v>2556190</v>
      </c>
      <c r="H22" s="75">
        <f>IFERROR(G22*F22,"N/A")</f>
        <v>51123.8</v>
      </c>
      <c r="I22" s="40">
        <f>IFERROR(H22+I20,"N/A")</f>
        <v>274796</v>
      </c>
      <c r="J22" s="87">
        <f>IFERROR(+I22*$M$14,"N/A")</f>
        <v>8206332.7966770651</v>
      </c>
    </row>
    <row r="23" spans="3:13" x14ac:dyDescent="0.35">
      <c r="C23" s="3">
        <f>'Step 2'!B29</f>
        <v>50</v>
      </c>
      <c r="D23" s="5">
        <f>IFERROR(1/C23, "N/A")</f>
        <v>0.02</v>
      </c>
      <c r="E23" s="90">
        <f>'Step 2'!L29</f>
        <v>2891300</v>
      </c>
      <c r="F23" s="73"/>
      <c r="G23" s="73"/>
      <c r="H23" s="73"/>
      <c r="I23" s="73"/>
      <c r="J23" s="86"/>
    </row>
    <row r="24" spans="3:13" x14ac:dyDescent="0.35">
      <c r="C24" s="3"/>
      <c r="D24" s="5"/>
      <c r="E24" s="90"/>
      <c r="F24" s="74">
        <f>IFERROR(D23-D25, "N/A")</f>
        <v>0.01</v>
      </c>
      <c r="G24" s="75">
        <f>IFERROR((E23+E25)/2,"N/A")</f>
        <v>3343657.5</v>
      </c>
      <c r="H24" s="75">
        <f>IFERROR(G24*F24,"N/A")</f>
        <v>33436.574999999997</v>
      </c>
      <c r="I24" s="40">
        <f>IFERROR(H24+I22,"N/A")</f>
        <v>308232.57500000001</v>
      </c>
      <c r="J24" s="87">
        <f>IFERROR(+I24*$M$14,"N/A")</f>
        <v>9204861.3852702491</v>
      </c>
    </row>
    <row r="25" spans="3:13" x14ac:dyDescent="0.35">
      <c r="C25" s="3">
        <f>'Step 2'!B30</f>
        <v>100</v>
      </c>
      <c r="D25" s="5">
        <f>IFERROR(1/C25, "N/A")</f>
        <v>0.01</v>
      </c>
      <c r="E25" s="90">
        <f>'Step 2'!L30</f>
        <v>3796015</v>
      </c>
      <c r="F25" s="73"/>
      <c r="G25" s="73"/>
      <c r="H25" s="73"/>
      <c r="I25" s="73"/>
      <c r="J25" s="86"/>
    </row>
    <row r="26" spans="3:13" x14ac:dyDescent="0.35">
      <c r="C26" s="3"/>
      <c r="D26" s="5"/>
      <c r="E26" s="90"/>
      <c r="F26" s="74">
        <f>IFERROR(D25-D27, "N/A")</f>
        <v>5.0000000000000001E-3</v>
      </c>
      <c r="G26" s="75">
        <f>IFERROR((E25+E27)/2,"N/A")</f>
        <v>4440557.5</v>
      </c>
      <c r="H26" s="75">
        <f>IFERROR(G26*F26,"N/A")</f>
        <v>22202.787500000002</v>
      </c>
      <c r="I26" s="40">
        <f>IFERROR(H26+I24,"N/A")</f>
        <v>330435.36249999999</v>
      </c>
      <c r="J26" s="87">
        <f>IFERROR(+I26*$M$14,"N/A")</f>
        <v>9867911.2958908584</v>
      </c>
    </row>
    <row r="27" spans="3:13" x14ac:dyDescent="0.35">
      <c r="C27" s="3">
        <f>'Step 2'!B31</f>
        <v>200</v>
      </c>
      <c r="D27" s="5">
        <f>IFERROR(1/C27, "N/A")</f>
        <v>5.0000000000000001E-3</v>
      </c>
      <c r="E27" s="90">
        <f>'Step 2'!L31</f>
        <v>5085100</v>
      </c>
      <c r="F27" s="73"/>
      <c r="G27" s="73"/>
      <c r="H27" s="73"/>
      <c r="I27" s="73"/>
      <c r="J27" s="86"/>
    </row>
    <row r="28" spans="3:13" x14ac:dyDescent="0.35">
      <c r="C28" s="3"/>
      <c r="D28" s="5"/>
      <c r="E28" s="90"/>
      <c r="F28" s="74">
        <f>IFERROR(D27-D29, "N/A")</f>
        <v>1.6666666666666666E-3</v>
      </c>
      <c r="G28" s="75">
        <f>IFERROR((E27+E29)/2,"N/A")</f>
        <v>4320487.5</v>
      </c>
      <c r="H28" s="75">
        <f>IFERROR(G28*F28,"N/A")</f>
        <v>7200.8124999999991</v>
      </c>
      <c r="I28" s="40">
        <f>IFERROR(H28+I26,"N/A")</f>
        <v>337636.17499999999</v>
      </c>
      <c r="J28" s="87">
        <f>IFERROR(+I28*$M$14,"N/A")</f>
        <v>10082951.77603421</v>
      </c>
    </row>
    <row r="29" spans="3:13" ht="15" thickBot="1" x14ac:dyDescent="0.4">
      <c r="C29" s="30">
        <f>'Step 2'!B32</f>
        <v>300</v>
      </c>
      <c r="D29" s="6">
        <f>IFERROR(1/C29, "N/A")</f>
        <v>3.3333333333333335E-3</v>
      </c>
      <c r="E29" s="91">
        <f>'Step 2'!L32</f>
        <v>3555875</v>
      </c>
      <c r="F29" s="76"/>
      <c r="G29" s="76"/>
      <c r="H29" s="76"/>
      <c r="I29" s="76"/>
      <c r="J29" s="88"/>
    </row>
    <row r="30" spans="3:13" ht="17.25" customHeight="1" thickBot="1" x14ac:dyDescent="0.4">
      <c r="F30" s="82"/>
      <c r="G30" s="82"/>
      <c r="H30" s="83" t="s">
        <v>36</v>
      </c>
      <c r="I30" s="85">
        <f>IF(SUM(H16:H29)=0,"",SUM(H16:H29))</f>
        <v>337636.17499999999</v>
      </c>
      <c r="J30" s="77"/>
    </row>
    <row r="31" spans="3:13" ht="15" thickBot="1" x14ac:dyDescent="0.4">
      <c r="F31" s="82"/>
      <c r="G31" s="82"/>
      <c r="H31" s="82"/>
      <c r="I31" s="84" t="b">
        <f>ISBLANK('[1]Front sheet'!C23)</f>
        <v>1</v>
      </c>
      <c r="J31" s="77"/>
    </row>
    <row r="32" spans="3:13" ht="15" thickBot="1" x14ac:dyDescent="0.4">
      <c r="F32" s="82"/>
      <c r="G32" s="82"/>
      <c r="H32" s="64"/>
      <c r="I32" s="83" t="s">
        <v>37</v>
      </c>
      <c r="J32" s="78">
        <f>IF(I30=TRUE,"",MAX(J16:J28))</f>
        <v>10082951.77603421</v>
      </c>
    </row>
    <row r="33" spans="3:3" x14ac:dyDescent="0.35">
      <c r="C33" s="25" t="s">
        <v>59</v>
      </c>
    </row>
  </sheetData>
  <sheetProtection algorithmName="SHA-512" hashValue="yo5AZOxBzHHmLs5l6X6P/kQgNCmaT8F4MUAyKHZisks1KBNU4sX/ekMw+rjCOPa/+NRqfGCPHsPfZWIqMuhV9Q==" saltValue="3wvmW1inoHYFfiI0aKh4HQ==" spinCount="100000" sheet="1" objects="1" selectLockedCells="1"/>
  <mergeCells count="5">
    <mergeCell ref="E2:S6"/>
    <mergeCell ref="C13:E13"/>
    <mergeCell ref="F13:I13"/>
    <mergeCell ref="C12:J12"/>
    <mergeCell ref="J13:J14"/>
  </mergeCells>
  <dataValidations count="1">
    <dataValidation type="whole" allowBlank="1" showInputMessage="1" showErrorMessage="1" error="Enter the life of the scheme (in years).  This should be a value between 1 and 100 years." sqref="M12" xr:uid="{00000000-0002-0000-0300-000000000000}">
      <formula1>1</formula1>
      <formula2>100</formula2>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P47"/>
  <sheetViews>
    <sheetView showGridLines="0" zoomScale="90" zoomScaleNormal="90" zoomScalePageLayoutView="80" workbookViewId="0">
      <selection activeCell="D16" sqref="D16"/>
    </sheetView>
  </sheetViews>
  <sheetFormatPr defaultRowHeight="14.5" x14ac:dyDescent="0.35"/>
  <cols>
    <col min="1" max="1" width="2.54296875" customWidth="1"/>
    <col min="2" max="2" width="11.54296875" bestFit="1" customWidth="1"/>
    <col min="3" max="3" width="14.54296875" customWidth="1"/>
    <col min="4" max="4" width="16.81640625" customWidth="1"/>
    <col min="5" max="6" width="14.7265625" customWidth="1"/>
    <col min="7" max="7" width="16.54296875" customWidth="1"/>
    <col min="12" max="12" width="12.7265625" customWidth="1"/>
  </cols>
  <sheetData>
    <row r="1" spans="2:15" ht="15" thickBot="1" x14ac:dyDescent="0.4"/>
    <row r="2" spans="2:15" ht="15" customHeight="1" x14ac:dyDescent="0.35">
      <c r="C2" s="167" t="s">
        <v>49</v>
      </c>
      <c r="D2" s="168"/>
      <c r="E2" s="168"/>
      <c r="F2" s="168"/>
      <c r="G2" s="168"/>
      <c r="H2" s="168"/>
      <c r="I2" s="168"/>
      <c r="J2" s="168"/>
      <c r="K2" s="168"/>
      <c r="L2" s="168"/>
      <c r="M2" s="168"/>
      <c r="N2" s="168"/>
      <c r="O2" s="169"/>
    </row>
    <row r="3" spans="2:15" x14ac:dyDescent="0.35">
      <c r="C3" s="170"/>
      <c r="D3" s="171"/>
      <c r="E3" s="171"/>
      <c r="F3" s="171"/>
      <c r="G3" s="171"/>
      <c r="H3" s="171"/>
      <c r="I3" s="171"/>
      <c r="J3" s="171"/>
      <c r="K3" s="171"/>
      <c r="L3" s="171"/>
      <c r="M3" s="171"/>
      <c r="N3" s="171"/>
      <c r="O3" s="172"/>
    </row>
    <row r="4" spans="2:15" x14ac:dyDescent="0.35">
      <c r="C4" s="170"/>
      <c r="D4" s="171"/>
      <c r="E4" s="171"/>
      <c r="F4" s="171"/>
      <c r="G4" s="171"/>
      <c r="H4" s="171"/>
      <c r="I4" s="171"/>
      <c r="J4" s="171"/>
      <c r="K4" s="171"/>
      <c r="L4" s="171"/>
      <c r="M4" s="171"/>
      <c r="N4" s="171"/>
      <c r="O4" s="172"/>
    </row>
    <row r="5" spans="2:15" ht="9.75" customHeight="1" x14ac:dyDescent="0.35">
      <c r="C5" s="170"/>
      <c r="D5" s="171"/>
      <c r="E5" s="171"/>
      <c r="F5" s="171"/>
      <c r="G5" s="171"/>
      <c r="H5" s="171"/>
      <c r="I5" s="171"/>
      <c r="J5" s="171"/>
      <c r="K5" s="171"/>
      <c r="L5" s="171"/>
      <c r="M5" s="171"/>
      <c r="N5" s="171"/>
      <c r="O5" s="172"/>
    </row>
    <row r="6" spans="2:15" hidden="1" x14ac:dyDescent="0.35">
      <c r="C6" s="170"/>
      <c r="D6" s="171"/>
      <c r="E6" s="171"/>
      <c r="F6" s="171"/>
      <c r="G6" s="171"/>
      <c r="H6" s="171"/>
      <c r="I6" s="171"/>
      <c r="J6" s="171"/>
      <c r="K6" s="171"/>
      <c r="L6" s="171"/>
      <c r="M6" s="171"/>
      <c r="N6" s="171"/>
      <c r="O6" s="172"/>
    </row>
    <row r="7" spans="2:15" ht="6.75" customHeight="1" thickBot="1" x14ac:dyDescent="0.4">
      <c r="C7" s="173"/>
      <c r="D7" s="174"/>
      <c r="E7" s="174"/>
      <c r="F7" s="174"/>
      <c r="G7" s="174"/>
      <c r="H7" s="174"/>
      <c r="I7" s="174"/>
      <c r="J7" s="174"/>
      <c r="K7" s="174"/>
      <c r="L7" s="174"/>
      <c r="M7" s="174"/>
      <c r="N7" s="174"/>
      <c r="O7" s="175"/>
    </row>
    <row r="9" spans="2:15" ht="6.75" customHeight="1" x14ac:dyDescent="0.35"/>
    <row r="11" spans="2:15" x14ac:dyDescent="0.35">
      <c r="L11" s="29"/>
    </row>
    <row r="12" spans="2:15" x14ac:dyDescent="0.35">
      <c r="L12" s="29"/>
    </row>
    <row r="13" spans="2:15" ht="33.75" customHeight="1" thickBot="1" x14ac:dyDescent="0.4">
      <c r="L13" s="29"/>
    </row>
    <row r="14" spans="2:15" ht="26.25" customHeight="1" x14ac:dyDescent="0.35">
      <c r="B14" s="178" t="s">
        <v>17</v>
      </c>
      <c r="C14" s="179"/>
      <c r="D14" s="179"/>
      <c r="E14" s="179"/>
      <c r="F14" s="179"/>
      <c r="G14" s="180"/>
      <c r="L14" s="29"/>
    </row>
    <row r="15" spans="2:15" ht="29" x14ac:dyDescent="0.35">
      <c r="B15" s="96" t="s">
        <v>41</v>
      </c>
      <c r="C15" s="93" t="s">
        <v>30</v>
      </c>
      <c r="D15" s="94" t="s">
        <v>43</v>
      </c>
      <c r="E15" s="135" t="s">
        <v>44</v>
      </c>
      <c r="F15" s="95" t="s">
        <v>42</v>
      </c>
      <c r="G15" s="97" t="s">
        <v>45</v>
      </c>
      <c r="L15" s="29"/>
    </row>
    <row r="16" spans="2:15" x14ac:dyDescent="0.35">
      <c r="B16" s="3">
        <f>'Step 3'!C15</f>
        <v>2</v>
      </c>
      <c r="C16" s="2">
        <f t="shared" ref="C16:C23" si="0">IFERROR((1/B16), "N/A")</f>
        <v>0.5</v>
      </c>
      <c r="D16" s="116">
        <v>0</v>
      </c>
      <c r="E16" s="48">
        <v>0</v>
      </c>
      <c r="F16" s="92"/>
      <c r="G16" s="98"/>
      <c r="L16" s="29"/>
    </row>
    <row r="17" spans="2:12" x14ac:dyDescent="0.35">
      <c r="B17" s="3">
        <f>'Step 3'!C17</f>
        <v>5</v>
      </c>
      <c r="C17" s="5">
        <f t="shared" si="0"/>
        <v>0.2</v>
      </c>
      <c r="D17" s="117">
        <v>1500000</v>
      </c>
      <c r="E17" s="136">
        <f>'Step 3'!J16</f>
        <v>2037614.6109596645</v>
      </c>
      <c r="F17" s="138">
        <f t="shared" ref="F17:F23" si="1">IFERROR(E17/D17,"N/A")</f>
        <v>1.3584097406397764</v>
      </c>
      <c r="G17" s="99">
        <f t="shared" ref="G17:G23" si="2">IFERROR(E17-D17,"N/A")</f>
        <v>537614.61095966445</v>
      </c>
      <c r="L17" s="29"/>
    </row>
    <row r="18" spans="2:12" x14ac:dyDescent="0.35">
      <c r="B18" s="3">
        <f>'Step 3'!C19</f>
        <v>10</v>
      </c>
      <c r="C18" s="5">
        <f t="shared" si="0"/>
        <v>0.1</v>
      </c>
      <c r="D18" s="117">
        <v>2600000</v>
      </c>
      <c r="E18" s="136">
        <f>'Step 3'!J18</f>
        <v>3933094.5440281499</v>
      </c>
      <c r="F18" s="138">
        <f t="shared" si="1"/>
        <v>1.5127286707800576</v>
      </c>
      <c r="G18" s="99">
        <f t="shared" si="2"/>
        <v>1333094.5440281499</v>
      </c>
    </row>
    <row r="19" spans="2:12" x14ac:dyDescent="0.35">
      <c r="B19" s="3">
        <f>'Step 3'!C21</f>
        <v>25</v>
      </c>
      <c r="C19" s="5">
        <f t="shared" si="0"/>
        <v>0.04</v>
      </c>
      <c r="D19" s="117">
        <v>3500000</v>
      </c>
      <c r="E19" s="136">
        <f>'Step 3'!J20</f>
        <v>6679604.1811558828</v>
      </c>
      <c r="F19" s="138">
        <f t="shared" si="1"/>
        <v>1.9084583374731094</v>
      </c>
      <c r="G19" s="99">
        <f t="shared" si="2"/>
        <v>3179604.1811558828</v>
      </c>
    </row>
    <row r="20" spans="2:12" x14ac:dyDescent="0.35">
      <c r="B20" s="3">
        <f>'Step 3'!C23</f>
        <v>50</v>
      </c>
      <c r="C20" s="5">
        <f t="shared" si="0"/>
        <v>0.02</v>
      </c>
      <c r="D20" s="117">
        <v>4300000</v>
      </c>
      <c r="E20" s="136">
        <f>'Step 3'!J22</f>
        <v>8206332.7966770651</v>
      </c>
      <c r="F20" s="138">
        <f t="shared" si="1"/>
        <v>1.9084494875993174</v>
      </c>
      <c r="G20" s="99">
        <f t="shared" si="2"/>
        <v>3906332.7966770651</v>
      </c>
    </row>
    <row r="21" spans="2:12" x14ac:dyDescent="0.35">
      <c r="B21" s="3">
        <f>'Step 3'!C25</f>
        <v>100</v>
      </c>
      <c r="C21" s="5">
        <f t="shared" si="0"/>
        <v>0.01</v>
      </c>
      <c r="D21" s="117">
        <v>5300000</v>
      </c>
      <c r="E21" s="136">
        <f>'Step 3'!J24</f>
        <v>9204861.3852702491</v>
      </c>
      <c r="F21" s="138">
        <f t="shared" si="1"/>
        <v>1.7367662991075943</v>
      </c>
      <c r="G21" s="99">
        <f t="shared" si="2"/>
        <v>3904861.3852702491</v>
      </c>
    </row>
    <row r="22" spans="2:12" x14ac:dyDescent="0.35">
      <c r="B22" s="3">
        <f>'Step 3'!C27</f>
        <v>200</v>
      </c>
      <c r="C22" s="5">
        <f t="shared" si="0"/>
        <v>5.0000000000000001E-3</v>
      </c>
      <c r="D22" s="117">
        <v>7300000</v>
      </c>
      <c r="E22" s="136">
        <f>'Step 3'!J26</f>
        <v>9867911.2958908584</v>
      </c>
      <c r="F22" s="138">
        <f t="shared" si="1"/>
        <v>1.3517686706699805</v>
      </c>
      <c r="G22" s="99">
        <f t="shared" si="2"/>
        <v>2567911.2958908584</v>
      </c>
    </row>
    <row r="23" spans="2:12" ht="15" thickBot="1" x14ac:dyDescent="0.4">
      <c r="B23" s="30">
        <f>'Step 3'!C29</f>
        <v>300</v>
      </c>
      <c r="C23" s="6">
        <f t="shared" si="0"/>
        <v>3.3333333333333335E-3</v>
      </c>
      <c r="D23" s="118">
        <v>8000000</v>
      </c>
      <c r="E23" s="137">
        <f>'Step 3'!J28</f>
        <v>10082951.77603421</v>
      </c>
      <c r="F23" s="139">
        <f t="shared" si="1"/>
        <v>1.2603689720042763</v>
      </c>
      <c r="G23" s="100">
        <f t="shared" si="2"/>
        <v>2082951.7760342099</v>
      </c>
    </row>
    <row r="24" spans="2:12" x14ac:dyDescent="0.35">
      <c r="B24" s="1"/>
      <c r="C24" s="1"/>
      <c r="D24" s="1"/>
      <c r="E24" s="7"/>
      <c r="F24" s="7"/>
      <c r="G24" s="4"/>
    </row>
    <row r="25" spans="2:12" x14ac:dyDescent="0.35">
      <c r="B25" s="1"/>
      <c r="C25" s="1"/>
      <c r="D25" s="1"/>
      <c r="E25" s="7"/>
      <c r="F25" s="7"/>
      <c r="G25" s="4"/>
    </row>
    <row r="26" spans="2:12" x14ac:dyDescent="0.35">
      <c r="B26" s="1"/>
      <c r="C26" s="1"/>
      <c r="D26" s="1"/>
      <c r="E26" s="7"/>
      <c r="F26" s="7"/>
      <c r="G26" s="4"/>
    </row>
    <row r="27" spans="2:12" x14ac:dyDescent="0.35">
      <c r="B27" s="1"/>
      <c r="C27" s="1"/>
      <c r="D27" s="1"/>
      <c r="E27" s="4"/>
      <c r="F27" s="4"/>
    </row>
    <row r="28" spans="2:12" x14ac:dyDescent="0.35">
      <c r="C28" s="1"/>
      <c r="D28" s="1"/>
      <c r="E28" s="1"/>
      <c r="F28" s="1"/>
    </row>
    <row r="29" spans="2:12" x14ac:dyDescent="0.35">
      <c r="C29" s="1"/>
      <c r="E29" s="1"/>
      <c r="F29" s="1"/>
    </row>
    <row r="30" spans="2:12" x14ac:dyDescent="0.35">
      <c r="C30" s="1"/>
      <c r="D30" s="1"/>
      <c r="E30" s="1"/>
      <c r="F30" s="1"/>
    </row>
    <row r="31" spans="2:12" x14ac:dyDescent="0.35">
      <c r="C31" s="1"/>
      <c r="D31" s="1"/>
      <c r="E31" s="1"/>
      <c r="F31" s="1"/>
    </row>
    <row r="39" spans="2:16" s="8" customFormat="1" x14ac:dyDescent="0.35">
      <c r="D39" s="26"/>
      <c r="E39" s="26"/>
      <c r="F39" s="26"/>
      <c r="G39" s="26"/>
    </row>
    <row r="40" spans="2:16" s="8" customFormat="1" x14ac:dyDescent="0.35">
      <c r="B40" s="25" t="s">
        <v>59</v>
      </c>
      <c r="C40" s="26"/>
      <c r="D40" s="26"/>
      <c r="E40" s="26"/>
      <c r="F40" s="26"/>
      <c r="G40" s="26"/>
      <c r="I40" s="8">
        <v>1</v>
      </c>
      <c r="J40" s="8">
        <v>2</v>
      </c>
      <c r="K40" s="8">
        <v>3</v>
      </c>
      <c r="L40" s="8">
        <v>4</v>
      </c>
      <c r="M40" s="8">
        <v>5</v>
      </c>
      <c r="N40" s="8">
        <v>6</v>
      </c>
      <c r="O40" s="8">
        <v>7</v>
      </c>
      <c r="P40" s="8">
        <v>8</v>
      </c>
    </row>
    <row r="41" spans="2:16" s="8" customFormat="1" x14ac:dyDescent="0.35">
      <c r="D41" s="26"/>
      <c r="E41" s="26"/>
      <c r="F41" s="26"/>
      <c r="G41" s="26"/>
      <c r="I41" s="8">
        <v>1</v>
      </c>
    </row>
    <row r="42" spans="2:16" ht="18.5" x14ac:dyDescent="0.45">
      <c r="B42" s="27"/>
      <c r="C42" s="26"/>
      <c r="D42" s="26"/>
      <c r="E42" s="26"/>
      <c r="F42" s="26"/>
      <c r="G42" s="26"/>
      <c r="K42" s="28"/>
    </row>
    <row r="43" spans="2:16" x14ac:dyDescent="0.35">
      <c r="B43" s="26"/>
      <c r="C43" s="26"/>
      <c r="D43" s="26"/>
      <c r="E43" s="26"/>
      <c r="F43" s="26"/>
      <c r="G43" s="26"/>
    </row>
    <row r="44" spans="2:16" x14ac:dyDescent="0.35">
      <c r="B44" s="26"/>
      <c r="C44" s="26"/>
      <c r="D44" s="26"/>
      <c r="E44" s="26"/>
      <c r="F44" s="26"/>
      <c r="G44" s="26"/>
    </row>
    <row r="45" spans="2:16" x14ac:dyDescent="0.35">
      <c r="B45" s="26"/>
      <c r="C45" s="26"/>
      <c r="D45" s="26"/>
      <c r="E45" s="26"/>
      <c r="F45" s="26"/>
      <c r="G45" s="26"/>
    </row>
    <row r="46" spans="2:16" x14ac:dyDescent="0.35">
      <c r="B46" s="26"/>
      <c r="C46" s="26"/>
      <c r="D46" s="26"/>
      <c r="E46" s="26"/>
      <c r="F46" s="26"/>
      <c r="G46" s="26"/>
    </row>
    <row r="47" spans="2:16" x14ac:dyDescent="0.35">
      <c r="B47" s="26"/>
      <c r="C47" s="26"/>
      <c r="D47" s="26"/>
      <c r="E47" s="26"/>
      <c r="F47" s="26"/>
      <c r="G47" s="26"/>
    </row>
  </sheetData>
  <sheetProtection algorithmName="SHA-512" hashValue="VYBA1sk3I9N11KpuyEjGrLiKj+Xek1m5JYN7vrxEBi5wr7YjliHKHecxVeYgnP31jP74AzR+cKvrrggItXr4jQ==" saltValue="xXtS8meCAhq35PCXpE88zg==" spinCount="100000" sheet="1" objects="1" selectLockedCells="1"/>
  <mergeCells count="2">
    <mergeCell ref="C2:O7"/>
    <mergeCell ref="B14:G14"/>
  </mergeCells>
  <pageMargins left="0.70866141732283472" right="0.70866141732283472" top="0.74803149606299213" bottom="0.74803149606299213" header="0.31496062992125984" footer="0.31496062992125984"/>
  <pageSetup paperSize="9" scale="41" orientation="landscape" verticalDpi="2" r:id="rId1"/>
  <headerFooter>
    <oddHeader>&amp;C&amp;36A simplified benefit:cost appraisal tool for flood risk management
&amp;16Buff coloured boxes are&amp;"-,Italic" instructions&amp;"-,Regular". Yellow boxes are &amp;"-,Italic"interpretation.</oddHeader>
  </headerFooter>
  <ignoredErrors>
    <ignoredError sqref="E17:E23" unlocked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F108"/>
  <sheetViews>
    <sheetView topLeftCell="A43" workbookViewId="0">
      <selection activeCell="G56" sqref="G56"/>
    </sheetView>
  </sheetViews>
  <sheetFormatPr defaultRowHeight="14.5" x14ac:dyDescent="0.35"/>
  <cols>
    <col min="6" max="6" width="14.54296875" customWidth="1"/>
  </cols>
  <sheetData>
    <row r="6" spans="3:6" ht="15.5" x14ac:dyDescent="0.35">
      <c r="C6" s="119" t="s">
        <v>50</v>
      </c>
      <c r="D6" s="120"/>
      <c r="E6" s="121"/>
      <c r="F6" s="120"/>
    </row>
    <row r="7" spans="3:6" ht="15.5" x14ac:dyDescent="0.35">
      <c r="C7" s="122" t="s">
        <v>51</v>
      </c>
      <c r="D7" s="122" t="s">
        <v>52</v>
      </c>
      <c r="E7" s="123" t="s">
        <v>53</v>
      </c>
      <c r="F7" s="122" t="s">
        <v>54</v>
      </c>
    </row>
    <row r="8" spans="3:6" x14ac:dyDescent="0.35">
      <c r="C8" s="124">
        <v>0</v>
      </c>
      <c r="D8" s="125">
        <v>3.5000000000000003E-2</v>
      </c>
      <c r="E8" s="121">
        <f>1/((1+D8)^C8)</f>
        <v>1</v>
      </c>
      <c r="F8" s="121">
        <f>E8</f>
        <v>1</v>
      </c>
    </row>
    <row r="9" spans="3:6" x14ac:dyDescent="0.35">
      <c r="C9" s="124">
        <v>1</v>
      </c>
      <c r="D9" s="125">
        <v>3.5000000000000003E-2</v>
      </c>
      <c r="E9" s="121">
        <f t="shared" ref="E9:E72" si="0">E8/(1+D9)</f>
        <v>0.96618357487922713</v>
      </c>
      <c r="F9" s="121">
        <f t="shared" ref="F9:F72" si="1">F8+E9</f>
        <v>1.9661835748792271</v>
      </c>
    </row>
    <row r="10" spans="3:6" x14ac:dyDescent="0.35">
      <c r="C10" s="124">
        <v>2</v>
      </c>
      <c r="D10" s="125">
        <v>3.5000000000000003E-2</v>
      </c>
      <c r="E10" s="121">
        <f t="shared" si="0"/>
        <v>0.93351070036640305</v>
      </c>
      <c r="F10" s="121">
        <f t="shared" si="1"/>
        <v>2.8996942752456301</v>
      </c>
    </row>
    <row r="11" spans="3:6" x14ac:dyDescent="0.35">
      <c r="C11" s="124">
        <v>3</v>
      </c>
      <c r="D11" s="125">
        <v>3.5000000000000003E-2</v>
      </c>
      <c r="E11" s="121">
        <f t="shared" si="0"/>
        <v>0.90194270566802237</v>
      </c>
      <c r="F11" s="121">
        <f t="shared" si="1"/>
        <v>3.8016369809136523</v>
      </c>
    </row>
    <row r="12" spans="3:6" x14ac:dyDescent="0.35">
      <c r="C12" s="124">
        <v>4</v>
      </c>
      <c r="D12" s="125">
        <v>3.5000000000000003E-2</v>
      </c>
      <c r="E12" s="121">
        <f t="shared" si="0"/>
        <v>0.87144222769857238</v>
      </c>
      <c r="F12" s="121">
        <f t="shared" si="1"/>
        <v>4.6730792086122248</v>
      </c>
    </row>
    <row r="13" spans="3:6" x14ac:dyDescent="0.35">
      <c r="C13" s="124">
        <v>5</v>
      </c>
      <c r="D13" s="125">
        <v>3.5000000000000003E-2</v>
      </c>
      <c r="E13" s="121">
        <f t="shared" si="0"/>
        <v>0.84197316685852408</v>
      </c>
      <c r="F13" s="121">
        <f t="shared" si="1"/>
        <v>5.5150523754707486</v>
      </c>
    </row>
    <row r="14" spans="3:6" x14ac:dyDescent="0.35">
      <c r="C14" s="124">
        <v>6</v>
      </c>
      <c r="D14" s="125">
        <v>3.5000000000000003E-2</v>
      </c>
      <c r="E14" s="121">
        <f t="shared" si="0"/>
        <v>0.81350064430775282</v>
      </c>
      <c r="F14" s="121">
        <f t="shared" si="1"/>
        <v>6.3285530197785018</v>
      </c>
    </row>
    <row r="15" spans="3:6" x14ac:dyDescent="0.35">
      <c r="C15" s="124">
        <v>7</v>
      </c>
      <c r="D15" s="125">
        <v>3.5000000000000003E-2</v>
      </c>
      <c r="E15" s="121">
        <f t="shared" si="0"/>
        <v>0.78599096068381924</v>
      </c>
      <c r="F15" s="121">
        <f t="shared" si="1"/>
        <v>7.1145439804623214</v>
      </c>
    </row>
    <row r="16" spans="3:6" x14ac:dyDescent="0.35">
      <c r="C16" s="124">
        <v>8</v>
      </c>
      <c r="D16" s="125">
        <v>3.5000000000000003E-2</v>
      </c>
      <c r="E16" s="121">
        <f t="shared" si="0"/>
        <v>0.75941155621625056</v>
      </c>
      <c r="F16" s="121">
        <f t="shared" si="1"/>
        <v>7.8739555366785723</v>
      </c>
    </row>
    <row r="17" spans="3:6" x14ac:dyDescent="0.35">
      <c r="C17" s="124">
        <v>9</v>
      </c>
      <c r="D17" s="125">
        <v>3.5000000000000003E-2</v>
      </c>
      <c r="E17" s="121">
        <f t="shared" si="0"/>
        <v>0.73373097218961414</v>
      </c>
      <c r="F17" s="121">
        <f t="shared" si="1"/>
        <v>8.607686508868186</v>
      </c>
    </row>
    <row r="18" spans="3:6" x14ac:dyDescent="0.35">
      <c r="C18" s="124">
        <v>10</v>
      </c>
      <c r="D18" s="125">
        <v>3.5000000000000003E-2</v>
      </c>
      <c r="E18" s="121">
        <f t="shared" si="0"/>
        <v>0.70891881370977217</v>
      </c>
      <c r="F18" s="121">
        <f t="shared" si="1"/>
        <v>9.3166053225779581</v>
      </c>
    </row>
    <row r="19" spans="3:6" x14ac:dyDescent="0.35">
      <c r="C19" s="124">
        <v>11</v>
      </c>
      <c r="D19" s="125">
        <v>3.5000000000000003E-2</v>
      </c>
      <c r="E19" s="121">
        <f t="shared" si="0"/>
        <v>0.68494571372924851</v>
      </c>
      <c r="F19" s="121">
        <f t="shared" si="1"/>
        <v>10.001551036307207</v>
      </c>
    </row>
    <row r="20" spans="3:6" x14ac:dyDescent="0.35">
      <c r="C20" s="124">
        <v>12</v>
      </c>
      <c r="D20" s="125">
        <v>3.5000000000000003E-2</v>
      </c>
      <c r="E20" s="121">
        <f t="shared" si="0"/>
        <v>0.66178329828912907</v>
      </c>
      <c r="F20" s="121">
        <f t="shared" si="1"/>
        <v>10.663334334596335</v>
      </c>
    </row>
    <row r="21" spans="3:6" x14ac:dyDescent="0.35">
      <c r="C21" s="124">
        <v>13</v>
      </c>
      <c r="D21" s="125">
        <v>3.5000000000000003E-2</v>
      </c>
      <c r="E21" s="121">
        <f t="shared" si="0"/>
        <v>0.63940415293635666</v>
      </c>
      <c r="F21" s="121">
        <f t="shared" si="1"/>
        <v>11.302738487532691</v>
      </c>
    </row>
    <row r="22" spans="3:6" x14ac:dyDescent="0.35">
      <c r="C22" s="124">
        <v>14</v>
      </c>
      <c r="D22" s="125">
        <v>3.5000000000000003E-2</v>
      </c>
      <c r="E22" s="121">
        <f t="shared" si="0"/>
        <v>0.61778179027667313</v>
      </c>
      <c r="F22" s="121">
        <f t="shared" si="1"/>
        <v>11.920520277809365</v>
      </c>
    </row>
    <row r="23" spans="3:6" x14ac:dyDescent="0.35">
      <c r="C23" s="124">
        <v>15</v>
      </c>
      <c r="D23" s="125">
        <v>3.5000000000000003E-2</v>
      </c>
      <c r="E23" s="121">
        <f t="shared" si="0"/>
        <v>0.59689061862480497</v>
      </c>
      <c r="F23" s="121">
        <f t="shared" si="1"/>
        <v>12.517410896434169</v>
      </c>
    </row>
    <row r="24" spans="3:6" x14ac:dyDescent="0.35">
      <c r="C24" s="124">
        <v>16</v>
      </c>
      <c r="D24" s="125">
        <v>3.5000000000000003E-2</v>
      </c>
      <c r="E24" s="121">
        <f t="shared" si="0"/>
        <v>0.57670591171478747</v>
      </c>
      <c r="F24" s="121">
        <f t="shared" si="1"/>
        <v>13.094116808148957</v>
      </c>
    </row>
    <row r="25" spans="3:6" x14ac:dyDescent="0.35">
      <c r="C25" s="124">
        <v>17</v>
      </c>
      <c r="D25" s="125">
        <v>3.5000000000000003E-2</v>
      </c>
      <c r="E25" s="121">
        <f t="shared" si="0"/>
        <v>0.55720377943457733</v>
      </c>
      <c r="F25" s="121">
        <f t="shared" si="1"/>
        <v>13.651320587583534</v>
      </c>
    </row>
    <row r="26" spans="3:6" x14ac:dyDescent="0.35">
      <c r="C26" s="124">
        <v>18</v>
      </c>
      <c r="D26" s="125">
        <v>3.5000000000000003E-2</v>
      </c>
      <c r="E26" s="121">
        <f t="shared" si="0"/>
        <v>0.53836113955031628</v>
      </c>
      <c r="F26" s="121">
        <f t="shared" si="1"/>
        <v>14.18968172713385</v>
      </c>
    </row>
    <row r="27" spans="3:6" x14ac:dyDescent="0.35">
      <c r="C27" s="124">
        <v>19</v>
      </c>
      <c r="D27" s="125">
        <v>3.5000000000000003E-2</v>
      </c>
      <c r="E27" s="121">
        <f t="shared" si="0"/>
        <v>0.520155690386779</v>
      </c>
      <c r="F27" s="121">
        <f t="shared" si="1"/>
        <v>14.70983741752063</v>
      </c>
    </row>
    <row r="28" spans="3:6" x14ac:dyDescent="0.35">
      <c r="C28" s="124">
        <v>20</v>
      </c>
      <c r="D28" s="125">
        <v>3.5000000000000003E-2</v>
      </c>
      <c r="E28" s="121">
        <f t="shared" si="0"/>
        <v>0.50256588443167061</v>
      </c>
      <c r="F28" s="121">
        <f t="shared" si="1"/>
        <v>15.2124033019523</v>
      </c>
    </row>
    <row r="29" spans="3:6" x14ac:dyDescent="0.35">
      <c r="C29" s="124">
        <v>21</v>
      </c>
      <c r="D29" s="125">
        <v>3.5000000000000003E-2</v>
      </c>
      <c r="E29" s="121">
        <f t="shared" si="0"/>
        <v>0.48557090283253201</v>
      </c>
      <c r="F29" s="121">
        <f t="shared" si="1"/>
        <v>15.697974204784831</v>
      </c>
    </row>
    <row r="30" spans="3:6" x14ac:dyDescent="0.35">
      <c r="C30" s="124">
        <v>22</v>
      </c>
      <c r="D30" s="125">
        <v>3.5000000000000003E-2</v>
      </c>
      <c r="E30" s="121">
        <f t="shared" si="0"/>
        <v>0.46915063075606961</v>
      </c>
      <c r="F30" s="121">
        <f t="shared" si="1"/>
        <v>16.1671248355409</v>
      </c>
    </row>
    <row r="31" spans="3:6" x14ac:dyDescent="0.35">
      <c r="C31" s="124">
        <v>23</v>
      </c>
      <c r="D31" s="125">
        <v>3.5000000000000003E-2</v>
      </c>
      <c r="E31" s="121">
        <f t="shared" si="0"/>
        <v>0.45328563358074364</v>
      </c>
      <c r="F31" s="121">
        <f t="shared" si="1"/>
        <v>16.620410469121644</v>
      </c>
    </row>
    <row r="32" spans="3:6" x14ac:dyDescent="0.35">
      <c r="C32" s="124">
        <v>24</v>
      </c>
      <c r="D32" s="125">
        <v>3.5000000000000003E-2</v>
      </c>
      <c r="E32" s="121">
        <f t="shared" si="0"/>
        <v>0.43795713389443836</v>
      </c>
      <c r="F32" s="121">
        <f t="shared" si="1"/>
        <v>17.058367603016084</v>
      </c>
    </row>
    <row r="33" spans="3:6" x14ac:dyDescent="0.35">
      <c r="C33" s="124">
        <v>25</v>
      </c>
      <c r="D33" s="125">
        <v>3.5000000000000003E-2</v>
      </c>
      <c r="E33" s="121">
        <f t="shared" si="0"/>
        <v>0.42314698926998878</v>
      </c>
      <c r="F33" s="121">
        <f t="shared" si="1"/>
        <v>17.481514592286072</v>
      </c>
    </row>
    <row r="34" spans="3:6" x14ac:dyDescent="0.35">
      <c r="C34" s="124">
        <v>26</v>
      </c>
      <c r="D34" s="125">
        <v>3.5000000000000003E-2</v>
      </c>
      <c r="E34" s="121">
        <f t="shared" si="0"/>
        <v>0.40883767079225974</v>
      </c>
      <c r="F34" s="121">
        <f t="shared" si="1"/>
        <v>17.890352263078331</v>
      </c>
    </row>
    <row r="35" spans="3:6" x14ac:dyDescent="0.35">
      <c r="C35" s="124">
        <v>27</v>
      </c>
      <c r="D35" s="125">
        <v>3.5000000000000003E-2</v>
      </c>
      <c r="E35" s="121">
        <f t="shared" si="0"/>
        <v>0.39501224231136212</v>
      </c>
      <c r="F35" s="121">
        <f t="shared" si="1"/>
        <v>18.285364505389694</v>
      </c>
    </row>
    <row r="36" spans="3:6" x14ac:dyDescent="0.35">
      <c r="C36" s="124">
        <v>28</v>
      </c>
      <c r="D36" s="125">
        <v>3.5000000000000003E-2</v>
      </c>
      <c r="E36" s="121">
        <f t="shared" si="0"/>
        <v>0.38165434039745133</v>
      </c>
      <c r="F36" s="121">
        <f t="shared" si="1"/>
        <v>18.667018845787144</v>
      </c>
    </row>
    <row r="37" spans="3:6" x14ac:dyDescent="0.35">
      <c r="C37" s="124">
        <v>29</v>
      </c>
      <c r="D37" s="125">
        <v>3.5000000000000003E-2</v>
      </c>
      <c r="E37" s="121">
        <f t="shared" si="0"/>
        <v>0.36874815497338298</v>
      </c>
      <c r="F37" s="121">
        <f t="shared" si="1"/>
        <v>19.035767000760526</v>
      </c>
    </row>
    <row r="38" spans="3:6" x14ac:dyDescent="0.35">
      <c r="C38" s="124">
        <v>30</v>
      </c>
      <c r="D38" s="125">
        <v>3.5000000000000003E-2</v>
      </c>
      <c r="E38" s="121">
        <f t="shared" si="0"/>
        <v>0.35627841060230242</v>
      </c>
      <c r="F38" s="121">
        <f t="shared" si="1"/>
        <v>19.39204541136283</v>
      </c>
    </row>
    <row r="39" spans="3:6" x14ac:dyDescent="0.35">
      <c r="C39" s="124">
        <v>31</v>
      </c>
      <c r="D39" s="125">
        <v>0.03</v>
      </c>
      <c r="E39" s="121">
        <f t="shared" si="0"/>
        <v>0.34590136951679845</v>
      </c>
      <c r="F39" s="121">
        <f t="shared" si="1"/>
        <v>19.737946780879629</v>
      </c>
    </row>
    <row r="40" spans="3:6" x14ac:dyDescent="0.35">
      <c r="C40" s="124">
        <v>32</v>
      </c>
      <c r="D40" s="125">
        <v>0.03</v>
      </c>
      <c r="E40" s="121">
        <f t="shared" si="0"/>
        <v>0.33582657234640628</v>
      </c>
      <c r="F40" s="121">
        <f t="shared" si="1"/>
        <v>20.073773353226034</v>
      </c>
    </row>
    <row r="41" spans="3:6" x14ac:dyDescent="0.35">
      <c r="C41" s="124">
        <v>33</v>
      </c>
      <c r="D41" s="125">
        <v>0.03</v>
      </c>
      <c r="E41" s="121">
        <f t="shared" si="0"/>
        <v>0.32604521587029733</v>
      </c>
      <c r="F41" s="121">
        <f t="shared" si="1"/>
        <v>20.399818569096333</v>
      </c>
    </row>
    <row r="42" spans="3:6" x14ac:dyDescent="0.35">
      <c r="C42" s="124">
        <v>34</v>
      </c>
      <c r="D42" s="125">
        <v>0.03</v>
      </c>
      <c r="E42" s="121">
        <f t="shared" si="0"/>
        <v>0.31654875327213333</v>
      </c>
      <c r="F42" s="121">
        <f t="shared" si="1"/>
        <v>20.716367322368466</v>
      </c>
    </row>
    <row r="43" spans="3:6" x14ac:dyDescent="0.35">
      <c r="C43" s="124">
        <v>35</v>
      </c>
      <c r="D43" s="125">
        <v>0.03</v>
      </c>
      <c r="E43" s="121">
        <f t="shared" si="0"/>
        <v>0.30732888667197411</v>
      </c>
      <c r="F43" s="121">
        <f t="shared" si="1"/>
        <v>21.023696209040441</v>
      </c>
    </row>
    <row r="44" spans="3:6" x14ac:dyDescent="0.35">
      <c r="C44" s="124">
        <v>36</v>
      </c>
      <c r="D44" s="125">
        <v>0.03</v>
      </c>
      <c r="E44" s="121">
        <f t="shared" si="0"/>
        <v>0.29837755987570302</v>
      </c>
      <c r="F44" s="121">
        <f t="shared" si="1"/>
        <v>21.322073768916145</v>
      </c>
    </row>
    <row r="45" spans="3:6" x14ac:dyDescent="0.35">
      <c r="C45" s="124">
        <v>37</v>
      </c>
      <c r="D45" s="125">
        <v>0.03</v>
      </c>
      <c r="E45" s="121">
        <f t="shared" si="0"/>
        <v>0.28968695133563399</v>
      </c>
      <c r="F45" s="121">
        <f t="shared" si="1"/>
        <v>21.61176072025178</v>
      </c>
    </row>
    <row r="46" spans="3:6" x14ac:dyDescent="0.35">
      <c r="C46" s="124">
        <v>38</v>
      </c>
      <c r="D46" s="125">
        <v>0.03</v>
      </c>
      <c r="E46" s="121">
        <f t="shared" si="0"/>
        <v>0.28124946731614953</v>
      </c>
      <c r="F46" s="121">
        <f t="shared" si="1"/>
        <v>21.893010187567931</v>
      </c>
    </row>
    <row r="47" spans="3:6" x14ac:dyDescent="0.35">
      <c r="C47" s="124">
        <v>39</v>
      </c>
      <c r="D47" s="125">
        <v>0.03</v>
      </c>
      <c r="E47" s="121">
        <f t="shared" si="0"/>
        <v>0.2730577352583976</v>
      </c>
      <c r="F47" s="121">
        <f t="shared" si="1"/>
        <v>22.166067922826329</v>
      </c>
    </row>
    <row r="48" spans="3:6" x14ac:dyDescent="0.35">
      <c r="C48" s="124">
        <v>40</v>
      </c>
      <c r="D48" s="125">
        <v>0.03</v>
      </c>
      <c r="E48" s="121">
        <f t="shared" si="0"/>
        <v>0.26510459733825009</v>
      </c>
      <c r="F48" s="121">
        <f t="shared" si="1"/>
        <v>22.43117252016458</v>
      </c>
    </row>
    <row r="49" spans="3:6" x14ac:dyDescent="0.35">
      <c r="C49" s="124">
        <v>41</v>
      </c>
      <c r="D49" s="125">
        <v>0.03</v>
      </c>
      <c r="E49" s="121">
        <f t="shared" si="0"/>
        <v>0.25738310421189331</v>
      </c>
      <c r="F49" s="121">
        <f t="shared" si="1"/>
        <v>22.688555624376473</v>
      </c>
    </row>
    <row r="50" spans="3:6" x14ac:dyDescent="0.35">
      <c r="C50" s="124">
        <v>42</v>
      </c>
      <c r="D50" s="125">
        <v>0.03</v>
      </c>
      <c r="E50" s="121">
        <f t="shared" si="0"/>
        <v>0.24988650894358574</v>
      </c>
      <c r="F50" s="121">
        <f t="shared" si="1"/>
        <v>22.938442133320059</v>
      </c>
    </row>
    <row r="51" spans="3:6" x14ac:dyDescent="0.35">
      <c r="C51" s="124">
        <v>43</v>
      </c>
      <c r="D51" s="125">
        <v>0.03</v>
      </c>
      <c r="E51" s="121">
        <f t="shared" si="0"/>
        <v>0.24260826111027742</v>
      </c>
      <c r="F51" s="121">
        <f t="shared" si="1"/>
        <v>23.181050394430336</v>
      </c>
    </row>
    <row r="52" spans="3:6" x14ac:dyDescent="0.35">
      <c r="C52" s="124">
        <v>44</v>
      </c>
      <c r="D52" s="125">
        <v>0.03</v>
      </c>
      <c r="E52" s="121">
        <f t="shared" si="0"/>
        <v>0.23554200107793924</v>
      </c>
      <c r="F52" s="121">
        <f t="shared" si="1"/>
        <v>23.416592395508275</v>
      </c>
    </row>
    <row r="53" spans="3:6" x14ac:dyDescent="0.35">
      <c r="C53" s="124">
        <v>45</v>
      </c>
      <c r="D53" s="125">
        <v>0.03</v>
      </c>
      <c r="E53" s="121">
        <f t="shared" si="0"/>
        <v>0.2286815544446012</v>
      </c>
      <c r="F53" s="121">
        <f t="shared" si="1"/>
        <v>23.645273949952877</v>
      </c>
    </row>
    <row r="54" spans="3:6" x14ac:dyDescent="0.35">
      <c r="C54" s="124">
        <v>46</v>
      </c>
      <c r="D54" s="125">
        <v>0.03</v>
      </c>
      <c r="E54" s="121">
        <f t="shared" si="0"/>
        <v>0.22202092664524387</v>
      </c>
      <c r="F54" s="121">
        <f t="shared" si="1"/>
        <v>23.86729487659812</v>
      </c>
    </row>
    <row r="55" spans="3:6" x14ac:dyDescent="0.35">
      <c r="C55" s="124">
        <v>47</v>
      </c>
      <c r="D55" s="125">
        <v>0.03</v>
      </c>
      <c r="E55" s="121">
        <f t="shared" si="0"/>
        <v>0.215554297713829</v>
      </c>
      <c r="F55" s="121">
        <f t="shared" si="1"/>
        <v>24.082849174311949</v>
      </c>
    </row>
    <row r="56" spans="3:6" x14ac:dyDescent="0.35">
      <c r="C56" s="124">
        <v>48</v>
      </c>
      <c r="D56" s="125">
        <v>0.03</v>
      </c>
      <c r="E56" s="121">
        <f t="shared" si="0"/>
        <v>0.20927601719789224</v>
      </c>
      <c r="F56" s="121">
        <f t="shared" si="1"/>
        <v>24.292125191509843</v>
      </c>
    </row>
    <row r="57" spans="3:6" x14ac:dyDescent="0.35">
      <c r="C57" s="124">
        <v>49</v>
      </c>
      <c r="D57" s="125">
        <v>0.03</v>
      </c>
      <c r="E57" s="121">
        <f t="shared" si="0"/>
        <v>0.20318059922125459</v>
      </c>
      <c r="F57" s="121">
        <f t="shared" si="1"/>
        <v>24.495305790731098</v>
      </c>
    </row>
    <row r="58" spans="3:6" ht="15.5" x14ac:dyDescent="0.35">
      <c r="C58" s="126">
        <v>50</v>
      </c>
      <c r="D58" s="127">
        <v>0.03</v>
      </c>
      <c r="E58" s="128">
        <f t="shared" si="0"/>
        <v>0.19726271769053844</v>
      </c>
      <c r="F58" s="128">
        <f t="shared" si="1"/>
        <v>24.692568508421637</v>
      </c>
    </row>
    <row r="59" spans="3:6" x14ac:dyDescent="0.35">
      <c r="C59" s="124">
        <v>51</v>
      </c>
      <c r="D59" s="125">
        <v>0.03</v>
      </c>
      <c r="E59" s="121">
        <f t="shared" si="0"/>
        <v>0.19151720164129946</v>
      </c>
      <c r="F59" s="121">
        <f t="shared" si="1"/>
        <v>24.884085710062937</v>
      </c>
    </row>
    <row r="60" spans="3:6" x14ac:dyDescent="0.35">
      <c r="C60" s="124">
        <v>52</v>
      </c>
      <c r="D60" s="125">
        <v>0.03</v>
      </c>
      <c r="E60" s="121">
        <f t="shared" si="0"/>
        <v>0.18593903071970821</v>
      </c>
      <c r="F60" s="121">
        <f t="shared" si="1"/>
        <v>25.070024740782646</v>
      </c>
    </row>
    <row r="61" spans="3:6" x14ac:dyDescent="0.35">
      <c r="C61" s="124">
        <v>53</v>
      </c>
      <c r="D61" s="125">
        <v>0.03</v>
      </c>
      <c r="E61" s="121">
        <f t="shared" si="0"/>
        <v>0.18052333079583321</v>
      </c>
      <c r="F61" s="121">
        <f t="shared" si="1"/>
        <v>25.250548071578478</v>
      </c>
    </row>
    <row r="62" spans="3:6" x14ac:dyDescent="0.35">
      <c r="C62" s="124">
        <v>54</v>
      </c>
      <c r="D62" s="125">
        <v>0.03</v>
      </c>
      <c r="E62" s="121">
        <f t="shared" si="0"/>
        <v>0.17526536970469245</v>
      </c>
      <c r="F62" s="121">
        <f t="shared" si="1"/>
        <v>25.425813441283172</v>
      </c>
    </row>
    <row r="63" spans="3:6" x14ac:dyDescent="0.35">
      <c r="C63" s="124">
        <v>55</v>
      </c>
      <c r="D63" s="125">
        <v>0.03</v>
      </c>
      <c r="E63" s="121">
        <f t="shared" si="0"/>
        <v>0.17016055311135189</v>
      </c>
      <c r="F63" s="121">
        <f t="shared" si="1"/>
        <v>25.595973994394523</v>
      </c>
    </row>
    <row r="64" spans="3:6" x14ac:dyDescent="0.35">
      <c r="C64" s="124">
        <v>56</v>
      </c>
      <c r="D64" s="125">
        <v>0.03</v>
      </c>
      <c r="E64" s="121">
        <f t="shared" si="0"/>
        <v>0.16520442049645814</v>
      </c>
      <c r="F64" s="121">
        <f t="shared" si="1"/>
        <v>25.761178414890981</v>
      </c>
    </row>
    <row r="65" spans="3:6" x14ac:dyDescent="0.35">
      <c r="C65" s="124">
        <v>57</v>
      </c>
      <c r="D65" s="125">
        <v>0.03</v>
      </c>
      <c r="E65" s="121">
        <f t="shared" si="0"/>
        <v>0.16039264125869723</v>
      </c>
      <c r="F65" s="121">
        <f t="shared" si="1"/>
        <v>25.921571056149677</v>
      </c>
    </row>
    <row r="66" spans="3:6" x14ac:dyDescent="0.35">
      <c r="C66" s="124">
        <v>58</v>
      </c>
      <c r="D66" s="125">
        <v>0.03</v>
      </c>
      <c r="E66" s="121">
        <f t="shared" si="0"/>
        <v>0.15572101093077401</v>
      </c>
      <c r="F66" s="121">
        <f t="shared" si="1"/>
        <v>26.07729206708045</v>
      </c>
    </row>
    <row r="67" spans="3:6" x14ac:dyDescent="0.35">
      <c r="C67" s="124">
        <v>59</v>
      </c>
      <c r="D67" s="125">
        <v>0.03</v>
      </c>
      <c r="E67" s="121">
        <f t="shared" si="0"/>
        <v>0.15118544750560584</v>
      </c>
      <c r="F67" s="121">
        <f t="shared" si="1"/>
        <v>26.228477514586057</v>
      </c>
    </row>
    <row r="68" spans="3:6" x14ac:dyDescent="0.35">
      <c r="C68" s="124">
        <v>60</v>
      </c>
      <c r="D68" s="125">
        <v>0.03</v>
      </c>
      <c r="E68" s="121">
        <f t="shared" si="0"/>
        <v>0.14678198786952024</v>
      </c>
      <c r="F68" s="121">
        <f t="shared" si="1"/>
        <v>26.375259502455577</v>
      </c>
    </row>
    <row r="69" spans="3:6" x14ac:dyDescent="0.35">
      <c r="C69" s="124">
        <v>61</v>
      </c>
      <c r="D69" s="125">
        <v>0.03</v>
      </c>
      <c r="E69" s="121">
        <f t="shared" si="0"/>
        <v>0.14250678433934003</v>
      </c>
      <c r="F69" s="121">
        <f t="shared" si="1"/>
        <v>26.517766286794917</v>
      </c>
    </row>
    <row r="70" spans="3:6" x14ac:dyDescent="0.35">
      <c r="C70" s="124">
        <v>62</v>
      </c>
      <c r="D70" s="125">
        <v>0.03</v>
      </c>
      <c r="E70" s="121">
        <f t="shared" si="0"/>
        <v>0.13835610130033013</v>
      </c>
      <c r="F70" s="121">
        <f t="shared" si="1"/>
        <v>26.656122388095248</v>
      </c>
    </row>
    <row r="71" spans="3:6" x14ac:dyDescent="0.35">
      <c r="C71" s="124">
        <v>63</v>
      </c>
      <c r="D71" s="125">
        <v>0.03</v>
      </c>
      <c r="E71" s="121">
        <f t="shared" si="0"/>
        <v>0.13432631194206809</v>
      </c>
      <c r="F71" s="121">
        <f t="shared" si="1"/>
        <v>26.790448700037317</v>
      </c>
    </row>
    <row r="72" spans="3:6" x14ac:dyDescent="0.35">
      <c r="C72" s="124">
        <v>64</v>
      </c>
      <c r="D72" s="125">
        <v>0.03</v>
      </c>
      <c r="E72" s="121">
        <f t="shared" si="0"/>
        <v>0.1304138950893865</v>
      </c>
      <c r="F72" s="121">
        <f t="shared" si="1"/>
        <v>26.920862595126703</v>
      </c>
    </row>
    <row r="73" spans="3:6" x14ac:dyDescent="0.35">
      <c r="C73" s="124">
        <v>65</v>
      </c>
      <c r="D73" s="125">
        <v>0.03</v>
      </c>
      <c r="E73" s="121">
        <f t="shared" ref="E73:E108" si="2">E72/(1+D73)</f>
        <v>0.12661543212561796</v>
      </c>
      <c r="F73" s="121">
        <f t="shared" ref="F73:F108" si="3">F72+E73</f>
        <v>27.047478027252321</v>
      </c>
    </row>
    <row r="74" spans="3:6" x14ac:dyDescent="0.35">
      <c r="C74" s="124">
        <v>66</v>
      </c>
      <c r="D74" s="125">
        <v>0.03</v>
      </c>
      <c r="E74" s="121">
        <f t="shared" si="2"/>
        <v>0.12292760400545433</v>
      </c>
      <c r="F74" s="121">
        <f t="shared" si="3"/>
        <v>27.170405631257776</v>
      </c>
    </row>
    <row r="75" spans="3:6" x14ac:dyDescent="0.35">
      <c r="C75" s="124">
        <v>67</v>
      </c>
      <c r="D75" s="125">
        <v>0.03</v>
      </c>
      <c r="E75" s="121">
        <f t="shared" si="2"/>
        <v>0.11934718835481002</v>
      </c>
      <c r="F75" s="121">
        <f t="shared" si="3"/>
        <v>27.289752819612584</v>
      </c>
    </row>
    <row r="76" spans="3:6" x14ac:dyDescent="0.35">
      <c r="C76" s="124">
        <v>68</v>
      </c>
      <c r="D76" s="125">
        <v>0.03</v>
      </c>
      <c r="E76" s="121">
        <f t="shared" si="2"/>
        <v>0.11587105665515536</v>
      </c>
      <c r="F76" s="121">
        <f t="shared" si="3"/>
        <v>27.40562387626774</v>
      </c>
    </row>
    <row r="77" spans="3:6" x14ac:dyDescent="0.35">
      <c r="C77" s="124">
        <v>69</v>
      </c>
      <c r="D77" s="125">
        <v>0.03</v>
      </c>
      <c r="E77" s="121">
        <f t="shared" si="2"/>
        <v>0.11249617150985958</v>
      </c>
      <c r="F77" s="121">
        <f t="shared" si="3"/>
        <v>27.5181200477776</v>
      </c>
    </row>
    <row r="78" spans="3:6" x14ac:dyDescent="0.35">
      <c r="C78" s="124">
        <v>70</v>
      </c>
      <c r="D78" s="125">
        <v>0.03</v>
      </c>
      <c r="E78" s="121">
        <f t="shared" si="2"/>
        <v>0.10921958399015493</v>
      </c>
      <c r="F78" s="121">
        <f t="shared" si="3"/>
        <v>27.627339631767754</v>
      </c>
    </row>
    <row r="79" spans="3:6" x14ac:dyDescent="0.35">
      <c r="C79" s="124">
        <v>71</v>
      </c>
      <c r="D79" s="125">
        <v>0.03</v>
      </c>
      <c r="E79" s="121">
        <f t="shared" si="2"/>
        <v>0.10603843105840284</v>
      </c>
      <c r="F79" s="121">
        <f t="shared" si="3"/>
        <v>27.733378062826155</v>
      </c>
    </row>
    <row r="80" spans="3:6" x14ac:dyDescent="0.35">
      <c r="C80" s="124">
        <v>72</v>
      </c>
      <c r="D80" s="125">
        <v>0.03</v>
      </c>
      <c r="E80" s="121">
        <f t="shared" si="2"/>
        <v>0.10294993306641052</v>
      </c>
      <c r="F80" s="121">
        <f t="shared" si="3"/>
        <v>27.836327995892564</v>
      </c>
    </row>
    <row r="81" spans="3:6" x14ac:dyDescent="0.35">
      <c r="C81" s="124">
        <v>73</v>
      </c>
      <c r="D81" s="125">
        <v>0.03</v>
      </c>
      <c r="E81" s="121">
        <f t="shared" si="2"/>
        <v>9.9951391326612155E-2</v>
      </c>
      <c r="F81" s="121">
        <f t="shared" si="3"/>
        <v>27.936279387219177</v>
      </c>
    </row>
    <row r="82" spans="3:6" x14ac:dyDescent="0.35">
      <c r="C82" s="124">
        <v>74</v>
      </c>
      <c r="D82" s="125">
        <v>0.03</v>
      </c>
      <c r="E82" s="121">
        <f t="shared" si="2"/>
        <v>9.7040185753992383E-2</v>
      </c>
      <c r="F82" s="121">
        <f t="shared" si="3"/>
        <v>28.03331957297317</v>
      </c>
    </row>
    <row r="83" spans="3:6" x14ac:dyDescent="0.35">
      <c r="C83" s="124">
        <v>75</v>
      </c>
      <c r="D83" s="125">
        <v>0.03</v>
      </c>
      <c r="E83" s="121">
        <f t="shared" si="2"/>
        <v>9.4213772576691626E-2</v>
      </c>
      <c r="F83" s="121">
        <f t="shared" si="3"/>
        <v>28.12753334554986</v>
      </c>
    </row>
    <row r="84" spans="3:6" x14ac:dyDescent="0.35">
      <c r="C84" s="124">
        <v>76</v>
      </c>
      <c r="D84" s="125">
        <v>2.5000000000000001E-2</v>
      </c>
      <c r="E84" s="121">
        <f t="shared" si="2"/>
        <v>9.1915875684577208E-2</v>
      </c>
      <c r="F84" s="121">
        <f t="shared" si="3"/>
        <v>28.219449221234438</v>
      </c>
    </row>
    <row r="85" spans="3:6" x14ac:dyDescent="0.35">
      <c r="C85" s="124">
        <v>77</v>
      </c>
      <c r="D85" s="125">
        <v>2.5000000000000001E-2</v>
      </c>
      <c r="E85" s="121">
        <f t="shared" si="2"/>
        <v>8.9674025058124107E-2</v>
      </c>
      <c r="F85" s="121">
        <f t="shared" si="3"/>
        <v>28.309123246292561</v>
      </c>
    </row>
    <row r="86" spans="3:6" x14ac:dyDescent="0.35">
      <c r="C86" s="124">
        <v>78</v>
      </c>
      <c r="D86" s="125">
        <v>2.5000000000000001E-2</v>
      </c>
      <c r="E86" s="121">
        <f t="shared" si="2"/>
        <v>8.7486853715243035E-2</v>
      </c>
      <c r="F86" s="121">
        <f t="shared" si="3"/>
        <v>28.396610100007805</v>
      </c>
    </row>
    <row r="87" spans="3:6" x14ac:dyDescent="0.35">
      <c r="C87" s="124">
        <v>79</v>
      </c>
      <c r="D87" s="125">
        <v>2.5000000000000001E-2</v>
      </c>
      <c r="E87" s="121">
        <f t="shared" si="2"/>
        <v>8.5353028014871254E-2</v>
      </c>
      <c r="F87" s="121">
        <f t="shared" si="3"/>
        <v>28.481963128022677</v>
      </c>
    </row>
    <row r="88" spans="3:6" x14ac:dyDescent="0.35">
      <c r="C88" s="124">
        <v>80</v>
      </c>
      <c r="D88" s="125">
        <v>2.5000000000000001E-2</v>
      </c>
      <c r="E88" s="121">
        <f t="shared" si="2"/>
        <v>8.3271246843776847E-2</v>
      </c>
      <c r="F88" s="121">
        <f t="shared" si="3"/>
        <v>28.565234374866453</v>
      </c>
    </row>
    <row r="89" spans="3:6" x14ac:dyDescent="0.35">
      <c r="C89" s="124">
        <v>81</v>
      </c>
      <c r="D89" s="125">
        <v>2.5000000000000001E-2</v>
      </c>
      <c r="E89" s="121">
        <f t="shared" si="2"/>
        <v>8.1240240823196933E-2</v>
      </c>
      <c r="F89" s="121">
        <f t="shared" si="3"/>
        <v>28.646474615689648</v>
      </c>
    </row>
    <row r="90" spans="3:6" x14ac:dyDescent="0.35">
      <c r="C90" s="124">
        <v>82</v>
      </c>
      <c r="D90" s="125">
        <v>2.5000000000000001E-2</v>
      </c>
      <c r="E90" s="121">
        <f t="shared" si="2"/>
        <v>7.9258771534826286E-2</v>
      </c>
      <c r="F90" s="121">
        <f t="shared" si="3"/>
        <v>28.725733387224473</v>
      </c>
    </row>
    <row r="91" spans="3:6" x14ac:dyDescent="0.35">
      <c r="C91" s="124">
        <v>83</v>
      </c>
      <c r="D91" s="125">
        <v>2.5000000000000001E-2</v>
      </c>
      <c r="E91" s="121">
        <f t="shared" si="2"/>
        <v>7.7325630765684189E-2</v>
      </c>
      <c r="F91" s="121">
        <f t="shared" si="3"/>
        <v>28.803059017990158</v>
      </c>
    </row>
    <row r="92" spans="3:6" x14ac:dyDescent="0.35">
      <c r="C92" s="124">
        <v>84</v>
      </c>
      <c r="D92" s="125">
        <v>2.5000000000000001E-2</v>
      </c>
      <c r="E92" s="121">
        <f t="shared" si="2"/>
        <v>7.5439639771399211E-2</v>
      </c>
      <c r="F92" s="121">
        <f t="shared" si="3"/>
        <v>28.878498657761558</v>
      </c>
    </row>
    <row r="93" spans="3:6" x14ac:dyDescent="0.35">
      <c r="C93" s="124">
        <v>85</v>
      </c>
      <c r="D93" s="125">
        <v>2.5000000000000001E-2</v>
      </c>
      <c r="E93" s="121">
        <f t="shared" si="2"/>
        <v>7.3599648557462649E-2</v>
      </c>
      <c r="F93" s="121">
        <f t="shared" si="3"/>
        <v>28.952098306319019</v>
      </c>
    </row>
    <row r="94" spans="3:6" x14ac:dyDescent="0.35">
      <c r="C94" s="124">
        <v>86</v>
      </c>
      <c r="D94" s="125">
        <v>2.5000000000000001E-2</v>
      </c>
      <c r="E94" s="121">
        <f t="shared" si="2"/>
        <v>7.1804535178012344E-2</v>
      </c>
      <c r="F94" s="121">
        <f t="shared" si="3"/>
        <v>29.023902841497033</v>
      </c>
    </row>
    <row r="95" spans="3:6" x14ac:dyDescent="0.35">
      <c r="C95" s="124">
        <v>87</v>
      </c>
      <c r="D95" s="125">
        <v>2.5000000000000001E-2</v>
      </c>
      <c r="E95" s="121">
        <f t="shared" si="2"/>
        <v>7.0053205051719372E-2</v>
      </c>
      <c r="F95" s="121">
        <f t="shared" si="3"/>
        <v>29.093956046548755</v>
      </c>
    </row>
    <row r="96" spans="3:6" x14ac:dyDescent="0.35">
      <c r="C96" s="124">
        <v>88</v>
      </c>
      <c r="D96" s="125">
        <v>2.5000000000000001E-2</v>
      </c>
      <c r="E96" s="121">
        <f t="shared" si="2"/>
        <v>6.8344590294360366E-2</v>
      </c>
      <c r="F96" s="121">
        <f t="shared" si="3"/>
        <v>29.162300636843113</v>
      </c>
    </row>
    <row r="97" spans="3:6" x14ac:dyDescent="0.35">
      <c r="C97" s="124">
        <v>89</v>
      </c>
      <c r="D97" s="125">
        <v>2.5000000000000001E-2</v>
      </c>
      <c r="E97" s="121">
        <f t="shared" si="2"/>
        <v>6.6677649067668654E-2</v>
      </c>
      <c r="F97" s="121">
        <f t="shared" si="3"/>
        <v>29.228978285910781</v>
      </c>
    </row>
    <row r="98" spans="3:6" x14ac:dyDescent="0.35">
      <c r="C98" s="124">
        <v>90</v>
      </c>
      <c r="D98" s="125">
        <v>2.5000000000000001E-2</v>
      </c>
      <c r="E98" s="121">
        <f t="shared" si="2"/>
        <v>6.5051364944066992E-2</v>
      </c>
      <c r="F98" s="121">
        <f t="shared" si="3"/>
        <v>29.294029650854849</v>
      </c>
    </row>
    <row r="99" spans="3:6" x14ac:dyDescent="0.35">
      <c r="C99" s="124">
        <v>91</v>
      </c>
      <c r="D99" s="125">
        <v>2.5000000000000001E-2</v>
      </c>
      <c r="E99" s="121">
        <f t="shared" si="2"/>
        <v>6.3464746286894635E-2</v>
      </c>
      <c r="F99" s="121">
        <f t="shared" si="3"/>
        <v>29.357494397141743</v>
      </c>
    </row>
    <row r="100" spans="3:6" x14ac:dyDescent="0.35">
      <c r="C100" s="124">
        <v>92</v>
      </c>
      <c r="D100" s="125">
        <v>2.5000000000000001E-2</v>
      </c>
      <c r="E100" s="121">
        <f t="shared" si="2"/>
        <v>6.1916825645750871E-2</v>
      </c>
      <c r="F100" s="121">
        <f t="shared" si="3"/>
        <v>29.419411222787492</v>
      </c>
    </row>
    <row r="101" spans="3:6" x14ac:dyDescent="0.35">
      <c r="C101" s="124">
        <v>93</v>
      </c>
      <c r="D101" s="125">
        <v>2.5000000000000001E-2</v>
      </c>
      <c r="E101" s="121">
        <f t="shared" si="2"/>
        <v>6.0406659166586218E-2</v>
      </c>
      <c r="F101" s="121">
        <f t="shared" si="3"/>
        <v>29.479817881954077</v>
      </c>
    </row>
    <row r="102" spans="3:6" x14ac:dyDescent="0.35">
      <c r="C102" s="124">
        <v>94</v>
      </c>
      <c r="D102" s="125">
        <v>2.5000000000000001E-2</v>
      </c>
      <c r="E102" s="121">
        <f t="shared" si="2"/>
        <v>5.8933326016181682E-2</v>
      </c>
      <c r="F102" s="121">
        <f t="shared" si="3"/>
        <v>29.538751207970257</v>
      </c>
    </row>
    <row r="103" spans="3:6" x14ac:dyDescent="0.35">
      <c r="C103" s="124">
        <v>95</v>
      </c>
      <c r="D103" s="125">
        <v>2.5000000000000001E-2</v>
      </c>
      <c r="E103" s="121">
        <f t="shared" si="2"/>
        <v>5.7495927820665059E-2</v>
      </c>
      <c r="F103" s="121">
        <f t="shared" si="3"/>
        <v>29.596247135790922</v>
      </c>
    </row>
    <row r="104" spans="3:6" x14ac:dyDescent="0.35">
      <c r="C104" s="124">
        <v>96</v>
      </c>
      <c r="D104" s="125">
        <v>2.5000000000000001E-2</v>
      </c>
      <c r="E104" s="121">
        <f t="shared" si="2"/>
        <v>5.6093588117722012E-2</v>
      </c>
      <c r="F104" s="121">
        <f t="shared" si="3"/>
        <v>29.652340723908644</v>
      </c>
    </row>
    <row r="105" spans="3:6" x14ac:dyDescent="0.35">
      <c r="C105" s="124">
        <v>97</v>
      </c>
      <c r="D105" s="125">
        <v>2.5000000000000001E-2</v>
      </c>
      <c r="E105" s="121">
        <f t="shared" si="2"/>
        <v>5.4725451822167821E-2</v>
      </c>
      <c r="F105" s="121">
        <f t="shared" si="3"/>
        <v>29.707066175730812</v>
      </c>
    </row>
    <row r="106" spans="3:6" x14ac:dyDescent="0.35">
      <c r="C106" s="124">
        <v>98</v>
      </c>
      <c r="D106" s="125">
        <v>2.5000000000000001E-2</v>
      </c>
      <c r="E106" s="121">
        <f t="shared" si="2"/>
        <v>5.3390684704553978E-2</v>
      </c>
      <c r="F106" s="121">
        <f t="shared" si="3"/>
        <v>29.760456860435365</v>
      </c>
    </row>
    <row r="107" spans="3:6" x14ac:dyDescent="0.35">
      <c r="C107" s="124">
        <v>99</v>
      </c>
      <c r="D107" s="125">
        <v>2.5000000000000001E-2</v>
      </c>
      <c r="E107" s="121">
        <f t="shared" si="2"/>
        <v>5.2088472882491688E-2</v>
      </c>
      <c r="F107" s="121">
        <f t="shared" si="3"/>
        <v>29.812545333317857</v>
      </c>
    </row>
    <row r="108" spans="3:6" ht="15.5" x14ac:dyDescent="0.35">
      <c r="C108" s="126">
        <v>100</v>
      </c>
      <c r="D108" s="127">
        <v>2.5000000000000001E-2</v>
      </c>
      <c r="E108" s="128">
        <f t="shared" si="2"/>
        <v>5.0818022324382137E-2</v>
      </c>
      <c r="F108" s="128">
        <f t="shared" si="3"/>
        <v>29.863363355642239</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E4D76328569F43B69913F006A221B2" ma:contentTypeVersion="13" ma:contentTypeDescription="Create a new document." ma:contentTypeScope="" ma:versionID="0443174307380af6736746bff26cd334">
  <xsd:schema xmlns:xsd="http://www.w3.org/2001/XMLSchema" xmlns:xs="http://www.w3.org/2001/XMLSchema" xmlns:p="http://schemas.microsoft.com/office/2006/metadata/properties" xmlns:ns3="f8d07fca-19e9-492a-8c2e-699b0725e001" xmlns:ns4="13086975-c1d0-4a06-9c64-3fd990a1352b" targetNamespace="http://schemas.microsoft.com/office/2006/metadata/properties" ma:root="true" ma:fieldsID="cd7cf7efc26a4808a55752c251ede92d" ns3:_="" ns4:_="">
    <xsd:import namespace="f8d07fca-19e9-492a-8c2e-699b0725e001"/>
    <xsd:import namespace="13086975-c1d0-4a06-9c64-3fd990a1352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07fca-19e9-492a-8c2e-699b0725e00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86975-c1d0-4a06-9c64-3fd990a1352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E81121-B38D-4143-8E02-F28EC6820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d07fca-19e9-492a-8c2e-699b0725e001"/>
    <ds:schemaRef ds:uri="13086975-c1d0-4a06-9c64-3fd990a13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68DDE5-CF0B-496E-BB37-0D66E55A1270}">
  <ds:schemaRefs>
    <ds:schemaRef ds:uri="http://schemas.microsoft.com/sharepoint/v3/contenttype/forms"/>
  </ds:schemaRefs>
</ds:datastoreItem>
</file>

<file path=customXml/itemProps3.xml><?xml version="1.0" encoding="utf-8"?>
<ds:datastoreItem xmlns:ds="http://schemas.openxmlformats.org/officeDocument/2006/customXml" ds:itemID="{76EAA29F-0668-4EC2-93A8-9079EF864A1E}">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13086975-c1d0-4a06-9c64-3fd990a1352b"/>
    <ds:schemaRef ds:uri="f8d07fca-19e9-492a-8c2e-699b0725e0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Index</vt:lpstr>
      <vt:lpstr>Step 1</vt:lpstr>
      <vt:lpstr>Step 2</vt:lpstr>
      <vt:lpstr>Step 3</vt:lpstr>
      <vt:lpstr>Step 4</vt:lpstr>
      <vt:lpstr>discounting_hidden</vt:lpstr>
      <vt:lpstr>'Step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 Penning-Rowsell</dc:creator>
  <cp:lastModifiedBy>Christophe Viavattene</cp:lastModifiedBy>
  <cp:lastPrinted>2014-09-03T18:04:54Z</cp:lastPrinted>
  <dcterms:created xsi:type="dcterms:W3CDTF">2014-01-06T18:13:44Z</dcterms:created>
  <dcterms:modified xsi:type="dcterms:W3CDTF">2026-05-08T10:07:26Z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0x010100B5E4D76328569F43B69913F006A221B2</vt:lpwstr>
  </property>
</Properties>
</file>